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Ex3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7"/>
  <workbookPr/>
  <mc:AlternateContent xmlns:mc="http://schemas.openxmlformats.org/markup-compatibility/2006">
    <mc:Choice Requires="x15">
      <x15ac:absPath xmlns:x15ac="http://schemas.microsoft.com/office/spreadsheetml/2010/11/ac" url="E:\OneDrive\Public\"/>
    </mc:Choice>
  </mc:AlternateContent>
  <bookViews>
    <workbookView xWindow="0" yWindow="0" windowWidth="22800" windowHeight="8850" xr2:uid="{00000000-000D-0000-FFFF-FFFF00000000}"/>
  </bookViews>
  <sheets>
    <sheet name="Data" sheetId="1" r:id="rId1"/>
    <sheet name="Longest Burst" sheetId="4" r:id="rId2"/>
    <sheet name="mAh% Delivered @ 20A" sheetId="3" r:id="rId3"/>
    <sheet name="g per Wh @ 60A" sheetId="6" r:id="rId4"/>
    <sheet name="C Rating vs. Longest Burst" sheetId="2" r:id="rId5"/>
    <sheet name="Price vs. Longest Burst" sheetId="5" r:id="rId6"/>
  </sheets>
  <definedNames>
    <definedName name="_xlnm._FilterDatabase" localSheetId="0" hidden="1">Data!$A$2:$BA$58</definedName>
    <definedName name="_xlchart.v1.0" hidden="1">'Longest Burst'!$A$2:$A$58</definedName>
    <definedName name="_xlchart.v1.1" hidden="1">'mAh% Delivered @ 20A'!$A$2:$A$51</definedName>
    <definedName name="_xlchart.v1.2" hidden="1">'g per Wh @ 60A'!$A$2:$A$54</definedName>
  </definedNam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68" i="1" l="1"/>
  <c r="AU68" i="1"/>
  <c r="AO68" i="1"/>
  <c r="AZ67" i="1"/>
  <c r="AU67" i="1"/>
  <c r="AO67" i="1"/>
  <c r="AZ66" i="1"/>
  <c r="AU66" i="1"/>
  <c r="AO66" i="1"/>
  <c r="AZ65" i="1"/>
  <c r="AU65" i="1"/>
  <c r="AO65" i="1"/>
  <c r="AZ64" i="1"/>
  <c r="AU64" i="1"/>
  <c r="AO64" i="1"/>
  <c r="AZ63" i="1"/>
  <c r="AU63" i="1"/>
  <c r="AO63" i="1"/>
  <c r="AZ62" i="1"/>
  <c r="AU62" i="1"/>
  <c r="AO62" i="1"/>
  <c r="AZ61" i="1"/>
  <c r="AU61" i="1"/>
  <c r="AO61" i="1"/>
  <c r="AZ60" i="1"/>
  <c r="AU60" i="1"/>
  <c r="AO60" i="1"/>
  <c r="AZ59" i="1"/>
  <c r="AU59" i="1"/>
  <c r="AO59" i="1"/>
  <c r="J68" i="1"/>
  <c r="A68" i="1"/>
  <c r="J67" i="1"/>
  <c r="A67" i="1"/>
  <c r="J66" i="1"/>
  <c r="A66" i="1"/>
  <c r="J65" i="1"/>
  <c r="A65" i="1"/>
  <c r="J64" i="1"/>
  <c r="A64" i="1"/>
  <c r="J63" i="1"/>
  <c r="A63" i="1"/>
  <c r="J62" i="1"/>
  <c r="A62" i="1"/>
  <c r="J61" i="1"/>
  <c r="A61" i="1"/>
  <c r="J60" i="1"/>
  <c r="A60" i="1"/>
  <c r="J59" i="1"/>
  <c r="A59" i="1"/>
  <c r="A47" i="1"/>
  <c r="J47" i="1"/>
  <c r="V47" i="1"/>
  <c r="Y47" i="1"/>
  <c r="AA47" i="1"/>
  <c r="AD47" i="1"/>
  <c r="AO47" i="1"/>
  <c r="AU47" i="1"/>
  <c r="AW47" i="1"/>
  <c r="AZ47" i="1"/>
  <c r="A38" i="1"/>
  <c r="J38" i="1"/>
  <c r="V38" i="1"/>
  <c r="Y38" i="1"/>
  <c r="AA38" i="1"/>
  <c r="AD38" i="1"/>
  <c r="AO38" i="1"/>
  <c r="AU38" i="1"/>
  <c r="AW38" i="1"/>
  <c r="AZ38" i="1"/>
  <c r="A37" i="1"/>
  <c r="J37" i="1"/>
  <c r="V37" i="1"/>
  <c r="Y37" i="1"/>
  <c r="AA37" i="1"/>
  <c r="AD37" i="1"/>
  <c r="AO37" i="1"/>
  <c r="AU37" i="1"/>
  <c r="AW37" i="1"/>
  <c r="AZ37" i="1"/>
  <c r="A46" i="1"/>
  <c r="J46" i="1"/>
  <c r="V46" i="1"/>
  <c r="Y46" i="1"/>
  <c r="AA46" i="1"/>
  <c r="AD46" i="1"/>
  <c r="AO46" i="1"/>
  <c r="AU46" i="1"/>
  <c r="AW46" i="1"/>
  <c r="AZ46" i="1"/>
  <c r="A53" i="1"/>
  <c r="J53" i="1"/>
  <c r="V53" i="1"/>
  <c r="Y53" i="1"/>
  <c r="AA53" i="1"/>
  <c r="AD53" i="1"/>
  <c r="AO53" i="1"/>
  <c r="AU53" i="1"/>
  <c r="AW53" i="1"/>
  <c r="AZ53" i="1"/>
  <c r="A41" i="1"/>
  <c r="J41" i="1"/>
  <c r="V41" i="1"/>
  <c r="Y41" i="1"/>
  <c r="AA41" i="1"/>
  <c r="AD41" i="1"/>
  <c r="AO41" i="1"/>
  <c r="AU41" i="1"/>
  <c r="AW41" i="1"/>
  <c r="AZ41" i="1"/>
  <c r="A42" i="1"/>
  <c r="J42" i="1"/>
  <c r="V42" i="1"/>
  <c r="Y42" i="1"/>
  <c r="AA42" i="1"/>
  <c r="AD42" i="1"/>
  <c r="AO42" i="1"/>
  <c r="AU42" i="1"/>
  <c r="AW42" i="1"/>
  <c r="AZ42" i="1"/>
  <c r="A44" i="1"/>
  <c r="J44" i="1"/>
  <c r="V44" i="1"/>
  <c r="Y44" i="1"/>
  <c r="AA44" i="1"/>
  <c r="AD44" i="1"/>
  <c r="AO44" i="1"/>
  <c r="AU44" i="1"/>
  <c r="AW44" i="1"/>
  <c r="AZ44" i="1"/>
  <c r="A48" i="1"/>
  <c r="J48" i="1"/>
  <c r="V48" i="1"/>
  <c r="Y48" i="1"/>
  <c r="AA48" i="1"/>
  <c r="AD48" i="1"/>
  <c r="AO48" i="1"/>
  <c r="AU48" i="1"/>
  <c r="AW48" i="1"/>
  <c r="AZ48" i="1"/>
  <c r="A39" i="1"/>
  <c r="J39" i="1"/>
  <c r="V39" i="1"/>
  <c r="Y39" i="1"/>
  <c r="AA39" i="1"/>
  <c r="AD39" i="1"/>
  <c r="AO39" i="1"/>
  <c r="AU39" i="1"/>
  <c r="AW39" i="1"/>
  <c r="AZ39" i="1"/>
  <c r="A51" i="1"/>
  <c r="J51" i="1"/>
  <c r="V51" i="1"/>
  <c r="Y51" i="1"/>
  <c r="AA51" i="1"/>
  <c r="AD51" i="1"/>
  <c r="AO51" i="1"/>
  <c r="AU51" i="1"/>
  <c r="AW51" i="1"/>
  <c r="AZ51" i="1"/>
  <c r="A40" i="1"/>
  <c r="J40" i="1"/>
  <c r="V40" i="1"/>
  <c r="Y40" i="1"/>
  <c r="AA40" i="1"/>
  <c r="AD40" i="1"/>
  <c r="AO40" i="1"/>
  <c r="AU40" i="1"/>
  <c r="AW40" i="1"/>
  <c r="AZ40" i="1"/>
  <c r="A54" i="1"/>
  <c r="J54" i="1"/>
  <c r="V54" i="1"/>
  <c r="Y54" i="1"/>
  <c r="AA54" i="1"/>
  <c r="AD54" i="1"/>
  <c r="AO54" i="1"/>
  <c r="AU54" i="1"/>
  <c r="AW54" i="1"/>
  <c r="AZ54" i="1"/>
  <c r="A36" i="1"/>
  <c r="J36" i="1"/>
  <c r="V36" i="1"/>
  <c r="Y36" i="1"/>
  <c r="AA36" i="1"/>
  <c r="AD36" i="1"/>
  <c r="AO36" i="1"/>
  <c r="AU36" i="1"/>
  <c r="AW36" i="1"/>
  <c r="AZ36" i="1"/>
  <c r="A55" i="1"/>
  <c r="J55" i="1"/>
  <c r="V55" i="1"/>
  <c r="Y55" i="1"/>
  <c r="AA55" i="1"/>
  <c r="AD55" i="1"/>
  <c r="AO55" i="1"/>
  <c r="AU55" i="1"/>
  <c r="AW55" i="1"/>
  <c r="AZ55" i="1"/>
  <c r="A56" i="1"/>
  <c r="J56" i="1"/>
  <c r="V56" i="1"/>
  <c r="Y56" i="1"/>
  <c r="AA56" i="1"/>
  <c r="AD56" i="1"/>
  <c r="AO56" i="1"/>
  <c r="AU56" i="1"/>
  <c r="AW56" i="1"/>
  <c r="AZ56" i="1"/>
  <c r="A52" i="1"/>
  <c r="J52" i="1"/>
  <c r="V52" i="1"/>
  <c r="Y52" i="1"/>
  <c r="AA52" i="1"/>
  <c r="AD52" i="1"/>
  <c r="AO52" i="1"/>
  <c r="AU52" i="1"/>
  <c r="AW52" i="1"/>
  <c r="AZ52" i="1"/>
  <c r="A50" i="1"/>
  <c r="J50" i="1"/>
  <c r="V50" i="1"/>
  <c r="Y50" i="1"/>
  <c r="AA50" i="1"/>
  <c r="AD50" i="1"/>
  <c r="AO50" i="1"/>
  <c r="AU50" i="1"/>
  <c r="AW50" i="1"/>
  <c r="AZ50" i="1"/>
  <c r="A49" i="1"/>
  <c r="J49" i="1"/>
  <c r="V49" i="1"/>
  <c r="Y49" i="1"/>
  <c r="AA49" i="1"/>
  <c r="AD49" i="1"/>
  <c r="AO49" i="1"/>
  <c r="AU49" i="1"/>
  <c r="AW49" i="1"/>
  <c r="AZ49" i="1"/>
  <c r="A57" i="1"/>
  <c r="J57" i="1"/>
  <c r="V57" i="1"/>
  <c r="W57" i="1"/>
  <c r="Y57" i="1"/>
  <c r="AA57" i="1"/>
  <c r="AD57" i="1"/>
  <c r="AO57" i="1"/>
  <c r="AU57" i="1"/>
  <c r="AW57" i="1"/>
  <c r="AZ57" i="1"/>
  <c r="A58" i="1"/>
  <c r="J58" i="1"/>
  <c r="V58" i="1"/>
  <c r="Y58" i="1"/>
  <c r="AA58" i="1"/>
  <c r="AD58" i="1"/>
  <c r="AO58" i="1"/>
  <c r="A43" i="1"/>
  <c r="J43" i="1"/>
  <c r="V43" i="1"/>
  <c r="AO43" i="1"/>
  <c r="AU43" i="1"/>
  <c r="AW43" i="1"/>
  <c r="AZ43" i="1"/>
  <c r="A45" i="1"/>
  <c r="J45" i="1"/>
  <c r="V45" i="1"/>
  <c r="AO45" i="1"/>
  <c r="AU45" i="1"/>
  <c r="AW45" i="1"/>
  <c r="AZ45" i="1"/>
  <c r="AS33" i="1"/>
  <c r="AS35" i="1"/>
  <c r="AO25" i="1"/>
  <c r="AU25" i="1"/>
  <c r="AW25" i="1"/>
  <c r="AZ25" i="1"/>
  <c r="I25" i="1"/>
  <c r="A25" i="1"/>
  <c r="AZ35" i="1"/>
  <c r="AZ34" i="1"/>
  <c r="AZ33" i="1"/>
  <c r="AW35" i="1"/>
  <c r="AW34" i="1"/>
  <c r="AW33" i="1"/>
  <c r="AU35" i="1"/>
  <c r="AU34" i="1"/>
  <c r="AU33" i="1"/>
  <c r="W35" i="1"/>
  <c r="W34" i="1"/>
  <c r="W33" i="1"/>
  <c r="W32" i="1"/>
  <c r="W31" i="1"/>
  <c r="W30" i="1"/>
  <c r="W29" i="1"/>
  <c r="W28" i="1"/>
  <c r="W27" i="1"/>
  <c r="W26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0" i="1"/>
  <c r="W9" i="1"/>
  <c r="W8" i="1"/>
  <c r="W7" i="1"/>
  <c r="W6" i="1"/>
  <c r="W5" i="1"/>
  <c r="Y35" i="1"/>
  <c r="A35" i="1"/>
  <c r="A34" i="1"/>
  <c r="A33" i="1"/>
  <c r="A32" i="1"/>
  <c r="A31" i="1"/>
  <c r="A30" i="1"/>
  <c r="A29" i="1"/>
  <c r="A28" i="1"/>
  <c r="A27" i="1"/>
  <c r="A26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J35" i="1"/>
  <c r="Y34" i="1"/>
  <c r="J34" i="1"/>
  <c r="J33" i="1"/>
  <c r="Y33" i="1"/>
  <c r="AA35" i="1"/>
  <c r="AA34" i="1"/>
  <c r="AA33" i="1"/>
  <c r="AD33" i="1"/>
  <c r="M35" i="1"/>
  <c r="V35" i="1"/>
  <c r="AO35" i="1"/>
  <c r="M34" i="1"/>
  <c r="V34" i="1"/>
  <c r="AO34" i="1"/>
  <c r="M33" i="1"/>
  <c r="V33" i="1"/>
  <c r="AO33" i="1"/>
  <c r="AZ32" i="1"/>
  <c r="AW32" i="1"/>
  <c r="AU32" i="1"/>
  <c r="AO32" i="1"/>
  <c r="AD32" i="1"/>
  <c r="AA32" i="1"/>
  <c r="Y32" i="1"/>
  <c r="V32" i="1"/>
  <c r="M32" i="1"/>
  <c r="J32" i="1"/>
  <c r="AZ31" i="1"/>
  <c r="AW31" i="1"/>
  <c r="AU31" i="1"/>
  <c r="AO31" i="1"/>
  <c r="AD31" i="1"/>
  <c r="AA31" i="1"/>
  <c r="Y31" i="1"/>
  <c r="V31" i="1"/>
  <c r="M31" i="1"/>
  <c r="J31" i="1"/>
  <c r="AZ30" i="1"/>
  <c r="AW30" i="1"/>
  <c r="AU30" i="1"/>
  <c r="AO30" i="1"/>
  <c r="AD30" i="1"/>
  <c r="AA30" i="1"/>
  <c r="Y30" i="1"/>
  <c r="V30" i="1"/>
  <c r="M30" i="1"/>
  <c r="J30" i="1"/>
  <c r="AZ29" i="1"/>
  <c r="AW29" i="1"/>
  <c r="AU29" i="1"/>
  <c r="AO29" i="1"/>
  <c r="AD29" i="1"/>
  <c r="AA29" i="1"/>
  <c r="Y29" i="1"/>
  <c r="V29" i="1"/>
  <c r="M29" i="1"/>
  <c r="J29" i="1"/>
  <c r="AZ28" i="1"/>
  <c r="AW28" i="1"/>
  <c r="AU28" i="1"/>
  <c r="AO28" i="1"/>
  <c r="AD28" i="1"/>
  <c r="AA28" i="1"/>
  <c r="Y28" i="1"/>
  <c r="V28" i="1"/>
  <c r="M28" i="1"/>
  <c r="J28" i="1"/>
  <c r="AZ27" i="1"/>
  <c r="AW27" i="1"/>
  <c r="AU27" i="1"/>
  <c r="AO27" i="1"/>
  <c r="AD27" i="1"/>
  <c r="AA27" i="1"/>
  <c r="Y27" i="1"/>
  <c r="V27" i="1"/>
  <c r="M27" i="1"/>
  <c r="J27" i="1"/>
  <c r="AZ26" i="1"/>
  <c r="AW26" i="1"/>
  <c r="AU26" i="1"/>
  <c r="AO26" i="1"/>
  <c r="AD26" i="1"/>
  <c r="AA26" i="1"/>
  <c r="Y26" i="1"/>
  <c r="V26" i="1"/>
  <c r="M26" i="1"/>
  <c r="J26" i="1"/>
  <c r="AZ24" i="1"/>
  <c r="AW24" i="1"/>
  <c r="AU24" i="1"/>
  <c r="AO24" i="1"/>
  <c r="AD24" i="1"/>
  <c r="AA24" i="1"/>
  <c r="Y24" i="1"/>
  <c r="V24" i="1"/>
  <c r="M24" i="1"/>
  <c r="I24" i="1"/>
  <c r="AZ23" i="1"/>
  <c r="AW23" i="1"/>
  <c r="AU23" i="1"/>
  <c r="AO23" i="1"/>
  <c r="AD23" i="1"/>
  <c r="AA23" i="1"/>
  <c r="Y23" i="1"/>
  <c r="V23" i="1"/>
  <c r="M23" i="1"/>
  <c r="J23" i="1"/>
  <c r="AZ22" i="1"/>
  <c r="AW22" i="1"/>
  <c r="AU22" i="1"/>
  <c r="AO22" i="1"/>
  <c r="AD22" i="1"/>
  <c r="AA22" i="1"/>
  <c r="Y22" i="1"/>
  <c r="V22" i="1"/>
  <c r="M22" i="1"/>
  <c r="J22" i="1"/>
  <c r="AZ21" i="1"/>
  <c r="AW21" i="1"/>
  <c r="AU21" i="1"/>
  <c r="AO21" i="1"/>
  <c r="AD21" i="1"/>
  <c r="AA21" i="1"/>
  <c r="Y21" i="1"/>
  <c r="V21" i="1"/>
  <c r="M21" i="1"/>
  <c r="J21" i="1"/>
  <c r="AZ20" i="1"/>
  <c r="AW20" i="1"/>
  <c r="AU20" i="1"/>
  <c r="AO20" i="1"/>
  <c r="AD20" i="1"/>
  <c r="AA20" i="1"/>
  <c r="Y20" i="1"/>
  <c r="V20" i="1"/>
  <c r="M20" i="1"/>
  <c r="J20" i="1"/>
  <c r="AZ19" i="1"/>
  <c r="AW19" i="1"/>
  <c r="AU19" i="1"/>
  <c r="AO19" i="1"/>
  <c r="AD19" i="1"/>
  <c r="AA19" i="1"/>
  <c r="Y19" i="1"/>
  <c r="V19" i="1"/>
  <c r="M19" i="1"/>
  <c r="J19" i="1"/>
  <c r="AZ18" i="1"/>
  <c r="AW18" i="1"/>
  <c r="AU18" i="1"/>
  <c r="AO18" i="1"/>
  <c r="AD18" i="1"/>
  <c r="AA18" i="1"/>
  <c r="Y18" i="1"/>
  <c r="V18" i="1"/>
  <c r="M18" i="1"/>
  <c r="J18" i="1"/>
  <c r="AZ17" i="1"/>
  <c r="AW17" i="1"/>
  <c r="AU17" i="1"/>
  <c r="AO17" i="1"/>
  <c r="AD17" i="1"/>
  <c r="AA17" i="1"/>
  <c r="Y17" i="1"/>
  <c r="V17" i="1"/>
  <c r="M17" i="1"/>
  <c r="J17" i="1"/>
  <c r="AZ16" i="1"/>
  <c r="AW16" i="1"/>
  <c r="AU16" i="1"/>
  <c r="AO16" i="1"/>
  <c r="AD16" i="1"/>
  <c r="AA16" i="1"/>
  <c r="Y16" i="1"/>
  <c r="V16" i="1"/>
  <c r="M16" i="1"/>
  <c r="J16" i="1"/>
  <c r="AZ15" i="1"/>
  <c r="AW15" i="1"/>
  <c r="AU15" i="1"/>
  <c r="AO15" i="1"/>
  <c r="AD15" i="1"/>
  <c r="AA15" i="1"/>
  <c r="Y15" i="1"/>
  <c r="V15" i="1"/>
  <c r="M15" i="1"/>
  <c r="J15" i="1"/>
  <c r="AZ14" i="1"/>
  <c r="AW14" i="1"/>
  <c r="AU14" i="1"/>
  <c r="AO14" i="1"/>
  <c r="AD14" i="1"/>
  <c r="AA14" i="1"/>
  <c r="Y14" i="1"/>
  <c r="V14" i="1"/>
  <c r="M14" i="1"/>
  <c r="J14" i="1"/>
  <c r="AZ13" i="1"/>
  <c r="AW13" i="1"/>
  <c r="AU13" i="1"/>
  <c r="AO13" i="1"/>
  <c r="AD13" i="1"/>
  <c r="AA13" i="1"/>
  <c r="Y13" i="1"/>
  <c r="V13" i="1"/>
  <c r="M13" i="1"/>
  <c r="J13" i="1"/>
  <c r="AZ12" i="1"/>
  <c r="AW12" i="1"/>
  <c r="AU12" i="1"/>
  <c r="AO12" i="1"/>
  <c r="AD12" i="1"/>
  <c r="AA12" i="1"/>
  <c r="Y12" i="1"/>
  <c r="V12" i="1"/>
  <c r="M12" i="1"/>
  <c r="J12" i="1"/>
  <c r="AZ11" i="1"/>
  <c r="AW11" i="1"/>
  <c r="AU11" i="1"/>
  <c r="AO11" i="1"/>
  <c r="AM11" i="1"/>
  <c r="AI11" i="1"/>
  <c r="AF11" i="1"/>
  <c r="M11" i="1"/>
  <c r="J11" i="1"/>
  <c r="AZ10" i="1"/>
  <c r="AW10" i="1"/>
  <c r="AU10" i="1"/>
  <c r="AO10" i="1"/>
  <c r="AM10" i="1"/>
  <c r="AI10" i="1"/>
  <c r="AF10" i="1"/>
  <c r="AD10" i="1"/>
  <c r="AA10" i="1"/>
  <c r="Y10" i="1"/>
  <c r="T10" i="1"/>
  <c r="N10" i="1"/>
  <c r="V10" i="1"/>
  <c r="M10" i="1"/>
  <c r="L10" i="1"/>
  <c r="AZ9" i="1"/>
  <c r="AW9" i="1"/>
  <c r="AU9" i="1"/>
  <c r="AO9" i="1"/>
  <c r="AM9" i="1"/>
  <c r="AI9" i="1"/>
  <c r="AF9" i="1"/>
  <c r="AD9" i="1"/>
  <c r="AA9" i="1"/>
  <c r="Y9" i="1"/>
  <c r="T9" i="1"/>
  <c r="N9" i="1"/>
  <c r="V9" i="1"/>
  <c r="M9" i="1"/>
  <c r="L9" i="1"/>
  <c r="J9" i="1"/>
  <c r="AZ8" i="1"/>
  <c r="AW8" i="1"/>
  <c r="AU8" i="1"/>
  <c r="AO8" i="1"/>
  <c r="AM8" i="1"/>
  <c r="AI8" i="1"/>
  <c r="AD8" i="1"/>
  <c r="AA8" i="1"/>
  <c r="Y8" i="1"/>
  <c r="T8" i="1"/>
  <c r="N8" i="1"/>
  <c r="V8" i="1"/>
  <c r="M8" i="1"/>
  <c r="AZ7" i="1"/>
  <c r="AW7" i="1"/>
  <c r="AU7" i="1"/>
  <c r="AO7" i="1"/>
  <c r="AM7" i="1"/>
  <c r="AI7" i="1"/>
  <c r="AF7" i="1"/>
  <c r="AD7" i="1"/>
  <c r="AA7" i="1"/>
  <c r="Y7" i="1"/>
  <c r="T7" i="1"/>
  <c r="N7" i="1"/>
  <c r="V7" i="1"/>
  <c r="M7" i="1"/>
  <c r="L7" i="1"/>
  <c r="AZ6" i="1"/>
  <c r="AW6" i="1"/>
  <c r="AU6" i="1"/>
  <c r="AO6" i="1"/>
  <c r="AM6" i="1"/>
  <c r="AI6" i="1"/>
  <c r="AF6" i="1"/>
  <c r="AD6" i="1"/>
  <c r="AA6" i="1"/>
  <c r="Y6" i="1"/>
  <c r="T6" i="1"/>
  <c r="N6" i="1"/>
  <c r="V6" i="1"/>
  <c r="M6" i="1"/>
  <c r="L6" i="1"/>
  <c r="J6" i="1"/>
  <c r="AZ5" i="1"/>
  <c r="AW5" i="1"/>
  <c r="AU5" i="1"/>
  <c r="AO5" i="1"/>
  <c r="AM5" i="1"/>
  <c r="AI5" i="1"/>
  <c r="AF5" i="1"/>
  <c r="AD5" i="1"/>
  <c r="AA5" i="1"/>
  <c r="Y5" i="1"/>
  <c r="T5" i="1"/>
  <c r="N5" i="1"/>
  <c r="V5" i="1"/>
  <c r="M5" i="1"/>
  <c r="L5" i="1"/>
  <c r="J5" i="1"/>
  <c r="AZ4" i="1"/>
  <c r="AW4" i="1"/>
  <c r="AU4" i="1"/>
  <c r="AO4" i="1"/>
  <c r="AM4" i="1"/>
  <c r="AI4" i="1"/>
  <c r="AF4" i="1"/>
  <c r="T4" i="1"/>
  <c r="N4" i="1"/>
  <c r="M4" i="1"/>
  <c r="L4" i="1"/>
  <c r="J4" i="1"/>
  <c r="AZ3" i="1"/>
  <c r="AW3" i="1"/>
  <c r="AU3" i="1"/>
  <c r="AO3" i="1"/>
  <c r="AM3" i="1"/>
  <c r="AI3" i="1"/>
  <c r="AF3" i="1"/>
  <c r="T3" i="1"/>
  <c r="N3" i="1"/>
  <c r="M3" i="1"/>
  <c r="L3" i="1"/>
  <c r="J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Bardwell</author>
  </authors>
  <commentList>
    <comment ref="AA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Bardwell:</t>
        </r>
        <r>
          <rPr>
            <sz val="9"/>
            <color indexed="81"/>
            <rFont val="Tahoma"/>
            <family val="2"/>
          </rPr>
          <t xml:space="preserve">
Lower Is Better</t>
        </r>
      </text>
    </comment>
    <comment ref="AW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Bardwell:</t>
        </r>
        <r>
          <rPr>
            <sz val="9"/>
            <color indexed="81"/>
            <rFont val="Tahoma"/>
            <family val="2"/>
          </rPr>
          <t xml:space="preserve">
Lower Is Better</t>
        </r>
      </text>
    </comment>
    <comment ref="AS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Bardwell:</t>
        </r>
        <r>
          <rPr>
            <sz val="9"/>
            <color indexed="81"/>
            <rFont val="Tahoma"/>
            <family val="2"/>
          </rPr>
          <t xml:space="preserve">
11s
26s
7s
4s
3s
2s</t>
        </r>
      </text>
    </comment>
    <comment ref="AY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Bardwell:</t>
        </r>
        <r>
          <rPr>
            <sz val="9"/>
            <color indexed="81"/>
            <rFont val="Tahoma"/>
            <family val="2"/>
          </rPr>
          <t xml:space="preserve">
Sag was high enough that the bursts were less than one second. I didn't think it was realistic or fair to continue.</t>
        </r>
      </text>
    </comment>
    <comment ref="AY9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Bardwell:</t>
        </r>
        <r>
          <rPr>
            <sz val="9"/>
            <color indexed="81"/>
            <rFont val="Tahoma"/>
            <family val="2"/>
          </rPr>
          <t xml:space="preserve">
Possible I could have pushed this for a few more bursts but I was towards the end of testing and was feeling a bit lazier. I felt like the gist of the results had made itself clear and the battery bursts were really short.</t>
        </r>
      </text>
    </comment>
    <comment ref="AY10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Bardwell:</t>
        </r>
        <r>
          <rPr>
            <sz val="9"/>
            <color indexed="81"/>
            <rFont val="Tahoma"/>
            <family val="2"/>
          </rPr>
          <t xml:space="preserve">
Sag was high enough that the bursts were less than one second. I didn't think it was realistic or fair to continue.</t>
        </r>
      </text>
    </comment>
    <comment ref="F25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Bardwell:</t>
        </r>
        <r>
          <rPr>
            <sz val="9"/>
            <color indexed="81"/>
            <rFont val="Tahoma"/>
            <family val="2"/>
          </rPr>
          <t xml:space="preserve">
Overcharged to 4.35v / cell even though not specifically HV chemistry.</t>
        </r>
      </text>
    </comment>
  </commentList>
</comments>
</file>

<file path=xl/sharedStrings.xml><?xml version="1.0" encoding="utf-8"?>
<sst xmlns="http://schemas.openxmlformats.org/spreadsheetml/2006/main" count="297" uniqueCount="83">
  <si>
    <t>Discharge to 80% mAh @ 20 Amps</t>
  </si>
  <si>
    <t>Discharge to 14.0v @ 20 Amps</t>
  </si>
  <si>
    <t>Discharge to 14.0v @ 40 Amps</t>
  </si>
  <si>
    <t>Discharge to 14.0v repeatedly until 15.0v resting @ High Amps</t>
  </si>
  <si>
    <t>Description</t>
  </si>
  <si>
    <t>Group</t>
  </si>
  <si>
    <t>Brand</t>
  </si>
  <si>
    <t>mAh</t>
  </si>
  <si>
    <t>Cell</t>
  </si>
  <si>
    <t>Type</t>
  </si>
  <si>
    <t>Condition</t>
  </si>
  <si>
    <t>Price</t>
  </si>
  <si>
    <t>C Rating</t>
  </si>
  <si>
    <t>Amp Rating</t>
  </si>
  <si>
    <t>Weight (g)</t>
  </si>
  <si>
    <t>IR (mOhms)</t>
  </si>
  <si>
    <t>C Rate</t>
  </si>
  <si>
    <t>Time</t>
  </si>
  <si>
    <t>Wh</t>
  </si>
  <si>
    <t>v (Stop)</t>
  </si>
  <si>
    <t>v (Resting)</t>
  </si>
  <si>
    <t>v (Sag)</t>
  </si>
  <si>
    <t>° F (Stop)</t>
  </si>
  <si>
    <t>Time (s)</t>
  </si>
  <si>
    <t>mAh %</t>
  </si>
  <si>
    <t>g / Wh</t>
  </si>
  <si>
    <t>Amps</t>
  </si>
  <si>
    <t># Bursts</t>
  </si>
  <si>
    <t>Longest Burst (s)</t>
  </si>
  <si>
    <t>Bolt</t>
  </si>
  <si>
    <t>LiHV</t>
  </si>
  <si>
    <t>Almost New</t>
  </si>
  <si>
    <t>4:18</t>
  </si>
  <si>
    <t>2:28</t>
  </si>
  <si>
    <t>Nano-Tech</t>
  </si>
  <si>
    <t>LiPo</t>
  </si>
  <si>
    <t>4:31</t>
  </si>
  <si>
    <t>2:25</t>
  </si>
  <si>
    <t>New</t>
  </si>
  <si>
    <t>3:14</t>
  </si>
  <si>
    <t>1:45</t>
  </si>
  <si>
    <t>Mad Dog</t>
  </si>
  <si>
    <t>3:13</t>
  </si>
  <si>
    <t>1:46</t>
  </si>
  <si>
    <t>Green Gorilla</t>
  </si>
  <si>
    <t>3:29</t>
  </si>
  <si>
    <t>1:36</t>
  </si>
  <si>
    <t>SMC</t>
  </si>
  <si>
    <t>Used</t>
  </si>
  <si>
    <t>3:16</t>
  </si>
  <si>
    <t>1:17</t>
  </si>
  <si>
    <t>Bonka</t>
  </si>
  <si>
    <t>1:24</t>
  </si>
  <si>
    <t>2:44</t>
  </si>
  <si>
    <t>0:58</t>
  </si>
  <si>
    <t>Not Recorded</t>
  </si>
  <si>
    <t>Dinogy</t>
  </si>
  <si>
    <t>Optipower</t>
  </si>
  <si>
    <t>Revolectrix</t>
  </si>
  <si>
    <t>Tattu</t>
  </si>
  <si>
    <t>Lumenier</t>
  </si>
  <si>
    <t>LiGr</t>
  </si>
  <si>
    <t>Tattu Race</t>
  </si>
  <si>
    <t>Turnigy</t>
  </si>
  <si>
    <t>SMC Extreme</t>
  </si>
  <si>
    <t>Tattu R-Line</t>
  </si>
  <si>
    <t>Hobby Wireless</t>
  </si>
  <si>
    <t>Infinity</t>
  </si>
  <si>
    <t>RMRC Orange</t>
  </si>
  <si>
    <t>Strix</t>
  </si>
  <si>
    <t>Onbo</t>
  </si>
  <si>
    <t>Indestructible Quads Black Label</t>
  </si>
  <si>
    <t>Revolectrix 435 GoPack Silver</t>
  </si>
  <si>
    <t>HVGr</t>
  </si>
  <si>
    <t>MyLipo.de</t>
  </si>
  <si>
    <t>NewBeeDrone Nitro Nectar</t>
  </si>
  <si>
    <t>Dangerous</t>
  </si>
  <si>
    <t>GNB Flight</t>
  </si>
  <si>
    <t>Multicopter Builders</t>
  </si>
  <si>
    <t>ROC</t>
  </si>
  <si>
    <t>MaxAmps</t>
  </si>
  <si>
    <t>Thunderpower Adrenaline</t>
  </si>
  <si>
    <t>TruePower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</si>
</sst>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2" formatCode="_(&quot;$&quot;* #,##0_);_(&quot;$&quot;* \(#,##0\);_(&quot;$&quot;* &quot;-&quot;_);_(@_)"/>
    <numFmt numFmtId="164" formatCode="0.0"/>
    <numFmt numFmtId="165" formatCode="&quot;$&quot;#,##0"/>
  </numFmts>
  <fonts count="9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4" borderId="0" applyNumberFormat="0" applyBorder="0" applyAlignment="0" applyProtection="0"/>
  </cellStyleXfs>
  <cellXfs count="101">
    <xf numFmtId="0" fontId="0" fillId="0" borderId="0" xfId="0"/>
    <xf numFmtId="164" fontId="3" fillId="0" borderId="1" xfId="1" applyNumberFormat="1" applyFont="1" applyFill="1" applyBorder="1"/>
    <xf numFmtId="2" fontId="3" fillId="0" borderId="1" xfId="1" applyNumberFormat="1" applyFont="1" applyFill="1" applyBorder="1"/>
    <xf numFmtId="49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/>
    <xf numFmtId="164" fontId="3" fillId="0" borderId="1" xfId="0" applyNumberFormat="1" applyFont="1" applyFill="1" applyBorder="1"/>
    <xf numFmtId="2" fontId="3" fillId="0" borderId="1" xfId="0" applyNumberFormat="1" applyFont="1" applyFill="1" applyBorder="1"/>
    <xf numFmtId="49" fontId="3" fillId="0" borderId="1" xfId="1" applyNumberFormat="1" applyFont="1" applyFill="1" applyBorder="1" applyAlignment="1">
      <alignment horizontal="right"/>
    </xf>
    <xf numFmtId="9" fontId="3" fillId="0" borderId="1" xfId="0" applyNumberFormat="1" applyFont="1" applyFill="1" applyBorder="1"/>
    <xf numFmtId="2" fontId="3" fillId="0" borderId="1" xfId="2" applyNumberFormat="1" applyFont="1" applyFill="1" applyBorder="1"/>
    <xf numFmtId="0" fontId="3" fillId="0" borderId="1" xfId="1" applyFont="1" applyFill="1" applyBorder="1"/>
    <xf numFmtId="0" fontId="3" fillId="0" borderId="1" xfId="1" applyFont="1" applyFill="1" applyBorder="1" applyAlignment="1">
      <alignment horizontal="center"/>
    </xf>
    <xf numFmtId="0" fontId="3" fillId="0" borderId="1" xfId="3" applyFont="1" applyFill="1" applyBorder="1"/>
    <xf numFmtId="1" fontId="3" fillId="0" borderId="1" xfId="3" applyNumberFormat="1" applyFont="1" applyFill="1" applyBorder="1"/>
    <xf numFmtId="49" fontId="3" fillId="0" borderId="1" xfId="3" applyNumberFormat="1" applyFont="1" applyFill="1" applyBorder="1" applyAlignment="1">
      <alignment horizontal="right"/>
    </xf>
    <xf numFmtId="164" fontId="3" fillId="0" borderId="1" xfId="3" applyNumberFormat="1" applyFont="1" applyFill="1" applyBorder="1"/>
    <xf numFmtId="2" fontId="3" fillId="0" borderId="1" xfId="3" applyNumberFormat="1" applyFont="1" applyFill="1" applyBorder="1"/>
    <xf numFmtId="6" fontId="3" fillId="0" borderId="1" xfId="0" applyNumberFormat="1" applyFont="1" applyFill="1" applyBorder="1"/>
    <xf numFmtId="1" fontId="3" fillId="0" borderId="1" xfId="0" applyNumberFormat="1" applyFont="1" applyFill="1" applyBorder="1"/>
    <xf numFmtId="6" fontId="3" fillId="0" borderId="1" xfId="2" applyNumberFormat="1" applyFont="1" applyFill="1" applyBorder="1"/>
    <xf numFmtId="6" fontId="3" fillId="0" borderId="1" xfId="1" applyNumberFormat="1" applyFont="1" applyFill="1" applyBorder="1"/>
    <xf numFmtId="42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/>
    <xf numFmtId="20" fontId="3" fillId="0" borderId="1" xfId="0" applyNumberFormat="1" applyFont="1" applyFill="1" applyBorder="1" applyAlignment="1"/>
    <xf numFmtId="9" fontId="3" fillId="0" borderId="1" xfId="0" applyNumberFormat="1" applyFont="1" applyFill="1" applyBorder="1" applyAlignment="1"/>
    <xf numFmtId="164" fontId="3" fillId="0" borderId="1" xfId="0" applyNumberFormat="1" applyFont="1" applyFill="1" applyBorder="1" applyAlignment="1"/>
    <xf numFmtId="165" fontId="3" fillId="0" borderId="1" xfId="0" applyNumberFormat="1" applyFont="1" applyFill="1" applyBorder="1" applyAlignment="1">
      <alignment horizontal="center"/>
    </xf>
    <xf numFmtId="0" fontId="3" fillId="0" borderId="1" xfId="2" applyFont="1" applyFill="1" applyBorder="1"/>
    <xf numFmtId="0" fontId="3" fillId="0" borderId="1" xfId="2" applyFont="1" applyFill="1" applyBorder="1" applyAlignment="1"/>
    <xf numFmtId="1" fontId="3" fillId="6" borderId="1" xfId="0" applyNumberFormat="1" applyFont="1" applyFill="1" applyBorder="1"/>
    <xf numFmtId="0" fontId="3" fillId="6" borderId="1" xfId="0" applyFont="1" applyFill="1" applyBorder="1"/>
    <xf numFmtId="9" fontId="3" fillId="6" borderId="1" xfId="0" applyNumberFormat="1" applyFont="1" applyFill="1" applyBorder="1"/>
    <xf numFmtId="164" fontId="3" fillId="6" borderId="1" xfId="1" applyNumberFormat="1" applyFont="1" applyFill="1" applyBorder="1"/>
    <xf numFmtId="2" fontId="3" fillId="6" borderId="1" xfId="1" applyNumberFormat="1" applyFont="1" applyFill="1" applyBorder="1"/>
    <xf numFmtId="2" fontId="3" fillId="6" borderId="1" xfId="0" applyNumberFormat="1" applyFont="1" applyFill="1" applyBorder="1"/>
    <xf numFmtId="164" fontId="3" fillId="6" borderId="1" xfId="0" applyNumberFormat="1" applyFont="1" applyFill="1" applyBorder="1"/>
    <xf numFmtId="0" fontId="3" fillId="6" borderId="1" xfId="2" applyFont="1" applyFill="1" applyBorder="1" applyAlignment="1">
      <alignment horizontal="right"/>
    </xf>
    <xf numFmtId="0" fontId="3" fillId="6" borderId="1" xfId="2" applyFont="1" applyFill="1" applyBorder="1"/>
    <xf numFmtId="0" fontId="3" fillId="6" borderId="1" xfId="1" applyFont="1" applyFill="1" applyBorder="1"/>
    <xf numFmtId="0" fontId="3" fillId="6" borderId="1" xfId="3" applyFont="1" applyFill="1" applyBorder="1"/>
    <xf numFmtId="164" fontId="3" fillId="6" borderId="1" xfId="3" applyNumberFormat="1" applyFont="1" applyFill="1" applyBorder="1"/>
    <xf numFmtId="2" fontId="3" fillId="6" borderId="1" xfId="3" applyNumberFormat="1" applyFont="1" applyFill="1" applyBorder="1"/>
    <xf numFmtId="2" fontId="3" fillId="6" borderId="1" xfId="2" applyNumberFormat="1" applyFont="1" applyFill="1" applyBorder="1"/>
    <xf numFmtId="9" fontId="3" fillId="6" borderId="1" xfId="1" applyNumberFormat="1" applyFont="1" applyFill="1" applyBorder="1"/>
    <xf numFmtId="9" fontId="3" fillId="6" borderId="1" xfId="2" applyNumberFormat="1" applyFont="1" applyFill="1" applyBorder="1"/>
    <xf numFmtId="164" fontId="3" fillId="6" borderId="1" xfId="2" applyNumberFormat="1" applyFont="1" applyFill="1" applyBorder="1"/>
    <xf numFmtId="1" fontId="3" fillId="7" borderId="1" xfId="0" applyNumberFormat="1" applyFont="1" applyFill="1" applyBorder="1"/>
    <xf numFmtId="0" fontId="3" fillId="7" borderId="1" xfId="0" applyFont="1" applyFill="1" applyBorder="1"/>
    <xf numFmtId="9" fontId="3" fillId="7" borderId="1" xfId="0" applyNumberFormat="1" applyFont="1" applyFill="1" applyBorder="1"/>
    <xf numFmtId="164" fontId="3" fillId="7" borderId="1" xfId="0" applyNumberFormat="1" applyFont="1" applyFill="1" applyBorder="1"/>
    <xf numFmtId="2" fontId="3" fillId="7" borderId="1" xfId="1" applyNumberFormat="1" applyFont="1" applyFill="1" applyBorder="1"/>
    <xf numFmtId="2" fontId="3" fillId="7" borderId="1" xfId="0" applyNumberFormat="1" applyFont="1" applyFill="1" applyBorder="1"/>
    <xf numFmtId="0" fontId="3" fillId="7" borderId="1" xfId="1" applyFont="1" applyFill="1" applyBorder="1"/>
    <xf numFmtId="164" fontId="3" fillId="7" borderId="1" xfId="1" applyNumberFormat="1" applyFont="1" applyFill="1" applyBorder="1"/>
    <xf numFmtId="0" fontId="3" fillId="7" borderId="1" xfId="3" applyFont="1" applyFill="1" applyBorder="1"/>
    <xf numFmtId="164" fontId="3" fillId="7" borderId="1" xfId="3" applyNumberFormat="1" applyFont="1" applyFill="1" applyBorder="1"/>
    <xf numFmtId="2" fontId="3" fillId="7" borderId="1" xfId="3" applyNumberFormat="1" applyFont="1" applyFill="1" applyBorder="1"/>
    <xf numFmtId="2" fontId="3" fillId="7" borderId="1" xfId="2" applyNumberFormat="1" applyFont="1" applyFill="1" applyBorder="1"/>
    <xf numFmtId="0" fontId="3" fillId="7" borderId="1" xfId="2" applyFont="1" applyFill="1" applyBorder="1"/>
    <xf numFmtId="9" fontId="3" fillId="7" borderId="1" xfId="1" applyNumberFormat="1" applyFont="1" applyFill="1" applyBorder="1"/>
    <xf numFmtId="1" fontId="3" fillId="7" borderId="1" xfId="0" applyNumberFormat="1" applyFont="1" applyFill="1" applyBorder="1" applyAlignment="1"/>
    <xf numFmtId="0" fontId="3" fillId="0" borderId="2" xfId="0" applyFont="1" applyFill="1" applyBorder="1"/>
    <xf numFmtId="6" fontId="3" fillId="0" borderId="2" xfId="0" applyNumberFormat="1" applyFont="1" applyFill="1" applyBorder="1"/>
    <xf numFmtId="1" fontId="3" fillId="0" borderId="2" xfId="0" applyNumberFormat="1" applyFont="1" applyFill="1" applyBorder="1"/>
    <xf numFmtId="0" fontId="3" fillId="0" borderId="2" xfId="1" applyFont="1" applyFill="1" applyBorder="1"/>
    <xf numFmtId="49" fontId="3" fillId="0" borderId="2" xfId="0" applyNumberFormat="1" applyFont="1" applyFill="1" applyBorder="1" applyAlignment="1">
      <alignment horizontal="right"/>
    </xf>
    <xf numFmtId="164" fontId="3" fillId="0" borderId="2" xfId="1" applyNumberFormat="1" applyFont="1" applyFill="1" applyBorder="1"/>
    <xf numFmtId="2" fontId="3" fillId="0" borderId="2" xfId="1" applyNumberFormat="1" applyFont="1" applyFill="1" applyBorder="1"/>
    <xf numFmtId="2" fontId="3" fillId="0" borderId="2" xfId="0" applyNumberFormat="1" applyFont="1" applyFill="1" applyBorder="1"/>
    <xf numFmtId="9" fontId="3" fillId="0" borderId="2" xfId="0" applyNumberFormat="1" applyFont="1" applyFill="1" applyBorder="1"/>
    <xf numFmtId="1" fontId="3" fillId="6" borderId="2" xfId="0" applyNumberFormat="1" applyFont="1" applyFill="1" applyBorder="1"/>
    <xf numFmtId="0" fontId="3" fillId="6" borderId="2" xfId="0" applyFont="1" applyFill="1" applyBorder="1"/>
    <xf numFmtId="9" fontId="3" fillId="6" borderId="2" xfId="0" applyNumberFormat="1" applyFont="1" applyFill="1" applyBorder="1"/>
    <xf numFmtId="164" fontId="3" fillId="6" borderId="2" xfId="1" applyNumberFormat="1" applyFont="1" applyFill="1" applyBorder="1"/>
    <xf numFmtId="2" fontId="3" fillId="6" borderId="2" xfId="1" applyNumberFormat="1" applyFont="1" applyFill="1" applyBorder="1"/>
    <xf numFmtId="2" fontId="3" fillId="6" borderId="2" xfId="0" applyNumberFormat="1" applyFont="1" applyFill="1" applyBorder="1"/>
    <xf numFmtId="164" fontId="3" fillId="7" borderId="1" xfId="0" applyNumberFormat="1" applyFont="1" applyFill="1" applyBorder="1" applyAlignment="1"/>
    <xf numFmtId="0" fontId="3" fillId="0" borderId="1" xfId="0" applyFont="1" applyFill="1" applyBorder="1" applyAlignment="1">
      <alignment horizontal="center"/>
    </xf>
    <xf numFmtId="2" fontId="3" fillId="7" borderId="1" xfId="0" applyNumberFormat="1" applyFont="1" applyFill="1" applyBorder="1" applyAlignment="1"/>
    <xf numFmtId="0" fontId="3" fillId="7" borderId="1" xfId="0" applyFont="1" applyFill="1" applyBorder="1" applyAlignment="1"/>
    <xf numFmtId="1" fontId="3" fillId="7" borderId="2" xfId="0" applyNumberFormat="1" applyFont="1" applyFill="1" applyBorder="1" applyAlignment="1"/>
    <xf numFmtId="0" fontId="3" fillId="5" borderId="1" xfId="0" applyFont="1" applyFill="1" applyBorder="1"/>
    <xf numFmtId="1" fontId="7" fillId="5" borderId="1" xfId="0" applyNumberFormat="1" applyFont="1" applyFill="1" applyBorder="1" applyAlignment="1">
      <alignment horizontal="center"/>
    </xf>
    <xf numFmtId="9" fontId="7" fillId="5" borderId="1" xfId="0" applyNumberFormat="1" applyFont="1" applyFill="1" applyBorder="1" applyAlignment="1">
      <alignment horizontal="center"/>
    </xf>
    <xf numFmtId="164" fontId="7" fillId="5" borderId="1" xfId="0" applyNumberFormat="1" applyFont="1" applyFill="1" applyBorder="1" applyAlignment="1">
      <alignment horizontal="center"/>
    </xf>
    <xf numFmtId="2" fontId="7" fillId="5" borderId="1" xfId="0" applyNumberFormat="1" applyFont="1" applyFill="1" applyBorder="1" applyAlignment="1">
      <alignment horizontal="center"/>
    </xf>
    <xf numFmtId="1" fontId="3" fillId="6" borderId="1" xfId="0" applyNumberFormat="1" applyFont="1" applyFill="1" applyBorder="1" applyAlignment="1">
      <alignment horizontal="right"/>
    </xf>
    <xf numFmtId="1" fontId="3" fillId="6" borderId="1" xfId="2" applyNumberFormat="1" applyFont="1" applyFill="1" applyBorder="1"/>
    <xf numFmtId="1" fontId="3" fillId="6" borderId="1" xfId="1" applyNumberFormat="1" applyFont="1" applyFill="1" applyBorder="1"/>
    <xf numFmtId="0" fontId="3" fillId="6" borderId="2" xfId="0" applyNumberFormat="1" applyFont="1" applyFill="1" applyBorder="1" applyAlignment="1">
      <alignment horizontal="right"/>
    </xf>
    <xf numFmtId="0" fontId="3" fillId="6" borderId="1" xfId="0" applyNumberFormat="1" applyFont="1" applyFill="1" applyBorder="1" applyAlignment="1">
      <alignment horizontal="right"/>
    </xf>
    <xf numFmtId="0" fontId="3" fillId="6" borderId="1" xfId="1" applyNumberFormat="1" applyFont="1" applyFill="1" applyBorder="1" applyAlignment="1">
      <alignment horizontal="right"/>
    </xf>
    <xf numFmtId="0" fontId="3" fillId="6" borderId="1" xfId="2" applyNumberFormat="1" applyFont="1" applyFill="1" applyBorder="1" applyAlignment="1">
      <alignment horizontal="right"/>
    </xf>
    <xf numFmtId="0" fontId="3" fillId="6" borderId="1" xfId="3" applyNumberFormat="1" applyFont="1" applyFill="1" applyBorder="1" applyAlignment="1">
      <alignment horizontal="right"/>
    </xf>
    <xf numFmtId="0" fontId="0" fillId="0" borderId="0" xfId="0" applyNumberFormat="1"/>
    <xf numFmtId="0" fontId="0" fillId="0" borderId="0" xfId="0" applyFill="1" applyBorder="1" applyAlignment="1"/>
    <xf numFmtId="0" fontId="0" fillId="0" borderId="3" xfId="0" applyFill="1" applyBorder="1" applyAlignment="1"/>
    <xf numFmtId="0" fontId="8" fillId="0" borderId="4" xfId="0" applyFont="1" applyFill="1" applyBorder="1" applyAlignment="1">
      <alignment horizontal="center"/>
    </xf>
    <xf numFmtId="9" fontId="0" fillId="0" borderId="0" xfId="0" applyNumberFormat="1"/>
    <xf numFmtId="0" fontId="7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 Rating vs. Longest Burst'!$B$1</c:f>
              <c:strCache>
                <c:ptCount val="1"/>
                <c:pt idx="0">
                  <c:v>Longest Burst (s)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 Rating vs. Longest Burst'!$A$2:$A$54</c:f>
              <c:numCache>
                <c:formatCode>General</c:formatCode>
                <c:ptCount val="53"/>
                <c:pt idx="0">
                  <c:v>65</c:v>
                </c:pt>
                <c:pt idx="1">
                  <c:v>65</c:v>
                </c:pt>
                <c:pt idx="2">
                  <c:v>65</c:v>
                </c:pt>
                <c:pt idx="3">
                  <c:v>80</c:v>
                </c:pt>
                <c:pt idx="4">
                  <c:v>28</c:v>
                </c:pt>
                <c:pt idx="5">
                  <c:v>75</c:v>
                </c:pt>
                <c:pt idx="6">
                  <c:v>65</c:v>
                </c:pt>
                <c:pt idx="7">
                  <c:v>65</c:v>
                </c:pt>
                <c:pt idx="8">
                  <c:v>50</c:v>
                </c:pt>
                <c:pt idx="9">
                  <c:v>70</c:v>
                </c:pt>
                <c:pt idx="10">
                  <c:v>75</c:v>
                </c:pt>
                <c:pt idx="11">
                  <c:v>45</c:v>
                </c:pt>
                <c:pt idx="12">
                  <c:v>80</c:v>
                </c:pt>
                <c:pt idx="13">
                  <c:v>80</c:v>
                </c:pt>
                <c:pt idx="14">
                  <c:v>75</c:v>
                </c:pt>
                <c:pt idx="15">
                  <c:v>75</c:v>
                </c:pt>
                <c:pt idx="16">
                  <c:v>65</c:v>
                </c:pt>
                <c:pt idx="17">
                  <c:v>80</c:v>
                </c:pt>
                <c:pt idx="18">
                  <c:v>80</c:v>
                </c:pt>
                <c:pt idx="19">
                  <c:v>31</c:v>
                </c:pt>
                <c:pt idx="20">
                  <c:v>31</c:v>
                </c:pt>
                <c:pt idx="21">
                  <c:v>95</c:v>
                </c:pt>
                <c:pt idx="22">
                  <c:v>70</c:v>
                </c:pt>
                <c:pt idx="23">
                  <c:v>75</c:v>
                </c:pt>
                <c:pt idx="24">
                  <c:v>75</c:v>
                </c:pt>
                <c:pt idx="25">
                  <c:v>70</c:v>
                </c:pt>
                <c:pt idx="26">
                  <c:v>60</c:v>
                </c:pt>
                <c:pt idx="27">
                  <c:v>80</c:v>
                </c:pt>
                <c:pt idx="28">
                  <c:v>60</c:v>
                </c:pt>
                <c:pt idx="29">
                  <c:v>60</c:v>
                </c:pt>
                <c:pt idx="30">
                  <c:v>60</c:v>
                </c:pt>
                <c:pt idx="31">
                  <c:v>80</c:v>
                </c:pt>
                <c:pt idx="32">
                  <c:v>95</c:v>
                </c:pt>
                <c:pt idx="33">
                  <c:v>80</c:v>
                </c:pt>
                <c:pt idx="34">
                  <c:v>95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70</c:v>
                </c:pt>
                <c:pt idx="40">
                  <c:v>80</c:v>
                </c:pt>
                <c:pt idx="41">
                  <c:v>70</c:v>
                </c:pt>
                <c:pt idx="42">
                  <c:v>70</c:v>
                </c:pt>
                <c:pt idx="43">
                  <c:v>70</c:v>
                </c:pt>
                <c:pt idx="44">
                  <c:v>95</c:v>
                </c:pt>
                <c:pt idx="45">
                  <c:v>100</c:v>
                </c:pt>
                <c:pt idx="46">
                  <c:v>70</c:v>
                </c:pt>
                <c:pt idx="47">
                  <c:v>90</c:v>
                </c:pt>
                <c:pt idx="48">
                  <c:v>110</c:v>
                </c:pt>
                <c:pt idx="49">
                  <c:v>120</c:v>
                </c:pt>
                <c:pt idx="50">
                  <c:v>110</c:v>
                </c:pt>
                <c:pt idx="51">
                  <c:v>80</c:v>
                </c:pt>
                <c:pt idx="52">
                  <c:v>80</c:v>
                </c:pt>
              </c:numCache>
            </c:numRef>
          </c:xVal>
          <c:yVal>
            <c:numRef>
              <c:f>'C Rating vs. Longest Burst'!$B$2:$B$54</c:f>
              <c:numCache>
                <c:formatCode>General</c:formatCode>
                <c:ptCount val="53"/>
                <c:pt idx="0">
                  <c:v>65</c:v>
                </c:pt>
                <c:pt idx="1">
                  <c:v>49</c:v>
                </c:pt>
                <c:pt idx="2">
                  <c:v>25</c:v>
                </c:pt>
                <c:pt idx="3">
                  <c:v>20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4</c:v>
                </c:pt>
                <c:pt idx="8">
                  <c:v>5</c:v>
                </c:pt>
                <c:pt idx="9">
                  <c:v>24</c:v>
                </c:pt>
                <c:pt idx="10">
                  <c:v>5</c:v>
                </c:pt>
                <c:pt idx="11">
                  <c:v>6</c:v>
                </c:pt>
                <c:pt idx="12">
                  <c:v>17</c:v>
                </c:pt>
                <c:pt idx="13">
                  <c:v>10</c:v>
                </c:pt>
                <c:pt idx="14">
                  <c:v>6</c:v>
                </c:pt>
                <c:pt idx="15">
                  <c:v>7</c:v>
                </c:pt>
                <c:pt idx="16">
                  <c:v>9</c:v>
                </c:pt>
                <c:pt idx="17">
                  <c:v>86</c:v>
                </c:pt>
                <c:pt idx="18">
                  <c:v>51</c:v>
                </c:pt>
                <c:pt idx="19">
                  <c:v>44</c:v>
                </c:pt>
                <c:pt idx="20">
                  <c:v>74</c:v>
                </c:pt>
                <c:pt idx="21">
                  <c:v>8</c:v>
                </c:pt>
                <c:pt idx="22">
                  <c:v>6</c:v>
                </c:pt>
                <c:pt idx="23">
                  <c:v>6</c:v>
                </c:pt>
                <c:pt idx="24">
                  <c:v>9</c:v>
                </c:pt>
                <c:pt idx="25">
                  <c:v>28</c:v>
                </c:pt>
                <c:pt idx="26">
                  <c:v>6</c:v>
                </c:pt>
                <c:pt idx="27">
                  <c:v>4</c:v>
                </c:pt>
                <c:pt idx="28">
                  <c:v>62</c:v>
                </c:pt>
                <c:pt idx="29">
                  <c:v>9</c:v>
                </c:pt>
                <c:pt idx="30">
                  <c:v>70</c:v>
                </c:pt>
                <c:pt idx="31">
                  <c:v>8</c:v>
                </c:pt>
                <c:pt idx="32">
                  <c:v>43</c:v>
                </c:pt>
                <c:pt idx="33">
                  <c:v>45</c:v>
                </c:pt>
                <c:pt idx="34">
                  <c:v>9</c:v>
                </c:pt>
                <c:pt idx="35">
                  <c:v>5</c:v>
                </c:pt>
                <c:pt idx="36">
                  <c:v>36</c:v>
                </c:pt>
                <c:pt idx="37">
                  <c:v>72</c:v>
                </c:pt>
                <c:pt idx="38">
                  <c:v>13</c:v>
                </c:pt>
                <c:pt idx="39">
                  <c:v>8</c:v>
                </c:pt>
                <c:pt idx="40">
                  <c:v>22</c:v>
                </c:pt>
                <c:pt idx="41">
                  <c:v>6</c:v>
                </c:pt>
                <c:pt idx="42">
                  <c:v>14</c:v>
                </c:pt>
                <c:pt idx="43">
                  <c:v>5</c:v>
                </c:pt>
                <c:pt idx="44">
                  <c:v>55</c:v>
                </c:pt>
                <c:pt idx="45">
                  <c:v>5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5</c:v>
                </c:pt>
                <c:pt idx="51">
                  <c:v>14</c:v>
                </c:pt>
                <c:pt idx="52">
                  <c:v>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699-4D11-A979-87479F234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3655736"/>
        <c:axId val="553657048"/>
      </c:scatterChart>
      <c:valAx>
        <c:axId val="553655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3657048"/>
        <c:crosses val="autoZero"/>
        <c:crossBetween val="midCat"/>
      </c:valAx>
      <c:valAx>
        <c:axId val="553657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36557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Price vs. Longest Burst (s)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'Price vs. Longest Burst'!$B$1</c:f>
              <c:strCache>
                <c:ptCount val="1"/>
                <c:pt idx="0">
                  <c:v>Longest Burst (s)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'Price vs. Longest Burst'!$A$2:$A$53</c:f>
              <c:numCache>
                <c:formatCode>General</c:formatCode>
                <c:ptCount val="52"/>
                <c:pt idx="0">
                  <c:v>31</c:v>
                </c:pt>
                <c:pt idx="1">
                  <c:v>28</c:v>
                </c:pt>
                <c:pt idx="2">
                  <c:v>26</c:v>
                </c:pt>
                <c:pt idx="3">
                  <c:v>35</c:v>
                </c:pt>
                <c:pt idx="4">
                  <c:v>34</c:v>
                </c:pt>
                <c:pt idx="5">
                  <c:v>25</c:v>
                </c:pt>
                <c:pt idx="6">
                  <c:v>29</c:v>
                </c:pt>
                <c:pt idx="7">
                  <c:v>28</c:v>
                </c:pt>
                <c:pt idx="8">
                  <c:v>17</c:v>
                </c:pt>
                <c:pt idx="9">
                  <c:v>20</c:v>
                </c:pt>
                <c:pt idx="10">
                  <c:v>29</c:v>
                </c:pt>
                <c:pt idx="11">
                  <c:v>26</c:v>
                </c:pt>
                <c:pt idx="12">
                  <c:v>30</c:v>
                </c:pt>
                <c:pt idx="13">
                  <c:v>30</c:v>
                </c:pt>
                <c:pt idx="14">
                  <c:v>35</c:v>
                </c:pt>
                <c:pt idx="15">
                  <c:v>40</c:v>
                </c:pt>
                <c:pt idx="16">
                  <c:v>34</c:v>
                </c:pt>
                <c:pt idx="17">
                  <c:v>32</c:v>
                </c:pt>
                <c:pt idx="18">
                  <c:v>26</c:v>
                </c:pt>
                <c:pt idx="19">
                  <c:v>43</c:v>
                </c:pt>
                <c:pt idx="20">
                  <c:v>35</c:v>
                </c:pt>
                <c:pt idx="21">
                  <c:v>35</c:v>
                </c:pt>
                <c:pt idx="22">
                  <c:v>35</c:v>
                </c:pt>
                <c:pt idx="23">
                  <c:v>38</c:v>
                </c:pt>
                <c:pt idx="24">
                  <c:v>31</c:v>
                </c:pt>
                <c:pt idx="25">
                  <c:v>20</c:v>
                </c:pt>
                <c:pt idx="26">
                  <c:v>27</c:v>
                </c:pt>
                <c:pt idx="27">
                  <c:v>25</c:v>
                </c:pt>
                <c:pt idx="28">
                  <c:v>30</c:v>
                </c:pt>
                <c:pt idx="29">
                  <c:v>33</c:v>
                </c:pt>
                <c:pt idx="30">
                  <c:v>32</c:v>
                </c:pt>
                <c:pt idx="31">
                  <c:v>28</c:v>
                </c:pt>
                <c:pt idx="32">
                  <c:v>39</c:v>
                </c:pt>
                <c:pt idx="33">
                  <c:v>38</c:v>
                </c:pt>
                <c:pt idx="34">
                  <c:v>40</c:v>
                </c:pt>
                <c:pt idx="35">
                  <c:v>40</c:v>
                </c:pt>
                <c:pt idx="36">
                  <c:v>32</c:v>
                </c:pt>
                <c:pt idx="37">
                  <c:v>27</c:v>
                </c:pt>
                <c:pt idx="38">
                  <c:v>15</c:v>
                </c:pt>
                <c:pt idx="39">
                  <c:v>34</c:v>
                </c:pt>
                <c:pt idx="40">
                  <c:v>18</c:v>
                </c:pt>
                <c:pt idx="41">
                  <c:v>25</c:v>
                </c:pt>
                <c:pt idx="42">
                  <c:v>20</c:v>
                </c:pt>
                <c:pt idx="43">
                  <c:v>34</c:v>
                </c:pt>
                <c:pt idx="44">
                  <c:v>40</c:v>
                </c:pt>
                <c:pt idx="45">
                  <c:v>28</c:v>
                </c:pt>
                <c:pt idx="46">
                  <c:v>25</c:v>
                </c:pt>
                <c:pt idx="47">
                  <c:v>24</c:v>
                </c:pt>
                <c:pt idx="48">
                  <c:v>25</c:v>
                </c:pt>
                <c:pt idx="49">
                  <c:v>22</c:v>
                </c:pt>
                <c:pt idx="50">
                  <c:v>29</c:v>
                </c:pt>
                <c:pt idx="51">
                  <c:v>28</c:v>
                </c:pt>
              </c:numCache>
            </c:numRef>
          </c:xVal>
          <c:yVal>
            <c:numRef>
              <c:f>'Price vs. Longest Burst'!$B$2:$B$53</c:f>
              <c:numCache>
                <c:formatCode>General</c:formatCode>
                <c:ptCount val="52"/>
                <c:pt idx="0">
                  <c:v>65</c:v>
                </c:pt>
                <c:pt idx="1">
                  <c:v>49</c:v>
                </c:pt>
                <c:pt idx="2">
                  <c:v>25</c:v>
                </c:pt>
                <c:pt idx="3">
                  <c:v>20</c:v>
                </c:pt>
                <c:pt idx="4">
                  <c:v>8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8</c:v>
                </c:pt>
                <c:pt idx="9">
                  <c:v>4</c:v>
                </c:pt>
                <c:pt idx="10">
                  <c:v>5</c:v>
                </c:pt>
                <c:pt idx="11">
                  <c:v>24</c:v>
                </c:pt>
                <c:pt idx="12">
                  <c:v>5</c:v>
                </c:pt>
                <c:pt idx="13">
                  <c:v>6</c:v>
                </c:pt>
                <c:pt idx="14">
                  <c:v>17</c:v>
                </c:pt>
                <c:pt idx="15">
                  <c:v>10</c:v>
                </c:pt>
                <c:pt idx="16">
                  <c:v>6</c:v>
                </c:pt>
                <c:pt idx="17">
                  <c:v>7</c:v>
                </c:pt>
                <c:pt idx="18">
                  <c:v>9</c:v>
                </c:pt>
                <c:pt idx="19">
                  <c:v>86</c:v>
                </c:pt>
                <c:pt idx="20">
                  <c:v>51</c:v>
                </c:pt>
                <c:pt idx="21">
                  <c:v>44</c:v>
                </c:pt>
                <c:pt idx="22">
                  <c:v>74</c:v>
                </c:pt>
                <c:pt idx="23">
                  <c:v>8</c:v>
                </c:pt>
                <c:pt idx="24">
                  <c:v>6</c:v>
                </c:pt>
                <c:pt idx="25">
                  <c:v>6</c:v>
                </c:pt>
                <c:pt idx="26">
                  <c:v>9</c:v>
                </c:pt>
                <c:pt idx="27">
                  <c:v>28</c:v>
                </c:pt>
                <c:pt idx="28">
                  <c:v>6</c:v>
                </c:pt>
                <c:pt idx="29">
                  <c:v>4</c:v>
                </c:pt>
                <c:pt idx="30">
                  <c:v>62</c:v>
                </c:pt>
                <c:pt idx="31">
                  <c:v>9</c:v>
                </c:pt>
                <c:pt idx="32">
                  <c:v>70</c:v>
                </c:pt>
                <c:pt idx="33">
                  <c:v>8</c:v>
                </c:pt>
                <c:pt idx="34">
                  <c:v>43</c:v>
                </c:pt>
                <c:pt idx="35">
                  <c:v>45</c:v>
                </c:pt>
                <c:pt idx="36">
                  <c:v>9</c:v>
                </c:pt>
                <c:pt idx="37">
                  <c:v>5</c:v>
                </c:pt>
                <c:pt idx="38">
                  <c:v>36</c:v>
                </c:pt>
                <c:pt idx="39">
                  <c:v>72</c:v>
                </c:pt>
                <c:pt idx="40">
                  <c:v>13</c:v>
                </c:pt>
                <c:pt idx="41">
                  <c:v>8</c:v>
                </c:pt>
                <c:pt idx="42">
                  <c:v>22</c:v>
                </c:pt>
                <c:pt idx="43">
                  <c:v>6</c:v>
                </c:pt>
                <c:pt idx="44">
                  <c:v>55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5</c:v>
                </c:pt>
                <c:pt idx="50">
                  <c:v>14</c:v>
                </c:pt>
                <c:pt idx="51">
                  <c:v>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2F5-47BF-BEE6-648AE99CB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0944808"/>
        <c:axId val="550945136"/>
      </c:scatterChart>
      <c:valAx>
        <c:axId val="550944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945136"/>
        <c:crosses val="autoZero"/>
        <c:crossBetween val="midCat"/>
      </c:valAx>
      <c:valAx>
        <c:axId val="55094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9448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_xlchart.v1.0</cx:f>
      </cx:numDim>
    </cx:data>
  </cx:chartData>
  <cx:chart>
    <cx:title pos="t" align="ctr" overlay="0">
      <cx:tx>
        <cx:txData>
          <cx:v>60A Longest Burst Distribution</cx:v>
        </cx:txData>
      </cx:tx>
      <cx:txPr>
        <a:bodyPr spcFirstLastPara="1" vertOverflow="ellipsis" wrap="square" lIns="0" tIns="0" rIns="0" bIns="0" anchor="ctr" anchorCtr="1"/>
        <a:lstStyle/>
        <a:p>
          <a:pPr algn="ctr">
            <a:defRPr/>
          </a:pPr>
          <a:r>
            <a:rPr lang="en-US"/>
            <a:t>60A Longest Burst Distribution</a:t>
          </a:r>
        </a:p>
      </cx:txPr>
    </cx:title>
    <cx:plotArea>
      <cx:plotAreaRegion>
        <cx:series layoutId="clusteredColumn" uniqueId="{1F4154FF-AA3D-467E-BD73-A8324F079583}">
          <cx:tx>
            <cx:txData>
              <cx:v>Longest Burst (s)</cx:v>
            </cx:txData>
          </cx:tx>
          <cx:dataId val="0"/>
          <cx:layoutPr>
            <cx:binning intervalClosed="r">
              <cx:binSize val="4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</cx:chartData>
  <cx:chart>
    <cx:title pos="t" align="ctr" overlay="0">
      <cx:tx>
        <cx:txData>
          <cx:v>20A mAh% Delivered Distribution</cx:v>
        </cx:txData>
      </cx:tx>
      <cx:txPr>
        <a:bodyPr spcFirstLastPara="1" vertOverflow="ellipsis" wrap="square" lIns="0" tIns="0" rIns="0" bIns="0" anchor="ctr" anchorCtr="1"/>
        <a:lstStyle/>
        <a:p>
          <a:pPr algn="ctr">
            <a:defRPr/>
          </a:pPr>
          <a:r>
            <a:rPr lang="en-US"/>
            <a:t>20A mAh% Delivered Distribution</a:t>
          </a:r>
        </a:p>
      </cx:txPr>
    </cx:title>
    <cx:plotArea>
      <cx:plotAreaRegion>
        <cx:series layoutId="clusteredColumn" uniqueId="{57D6A5EE-C9F8-4FA0-8431-81164127A1EB}">
          <cx:tx>
            <cx:txData>
              <cx:v>mAh %</cx:v>
            </cx:txData>
          </cx:tx>
          <cx:dataId val="0"/>
          <cx:layoutPr>
            <cx:binning intervalClosed="r"/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_xlchart.v1.2</cx:f>
      </cx:numDim>
    </cx:data>
  </cx:chartData>
  <cx:chart>
    <cx:title pos="t" align="ctr" overlay="0">
      <cx:tx>
        <cx:txData>
          <cx:v>g/Wh @ 60A Discharge (lower is better energy density)</cx:v>
        </cx:txData>
      </cx:tx>
      <cx:txPr>
        <a:bodyPr spcFirstLastPara="1" vertOverflow="ellipsis" wrap="square" lIns="0" tIns="0" rIns="0" bIns="0" anchor="ctr" anchorCtr="1"/>
        <a:lstStyle/>
        <a:p>
          <a:pPr algn="ctr">
            <a:defRPr/>
          </a:pPr>
          <a:r>
            <a:rPr lang="en-US"/>
            <a:t>g/Wh @ 60A Discharge (lower is better energy density)</a:t>
          </a:r>
        </a:p>
      </cx:txPr>
    </cx:title>
    <cx:plotArea>
      <cx:plotAreaRegion>
        <cx:series layoutId="clusteredColumn" uniqueId="{563C1E8B-1C24-4B46-9DB6-6FD434A9D2A5}">
          <cx:tx>
            <cx:txData>
              <cx:v>g / Wh</cx:v>
            </cx:txData>
          </cx:tx>
          <cx:dataId val="0"/>
          <cx:layoutPr>
            <cx:binning intervalClosed="r">
              <cx:binSize val="1"/>
            </cx:binning>
          </cx:layoutPr>
        </cx:series>
      </cx:plotAreaRegion>
      <cx:axis id="0">
        <cx:catScaling gapWidth="0"/>
        <cx:tickLabels/>
        <cx:numFmt formatCode="#,##0" sourceLinked="0"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1" Type="http://schemas.microsoft.com/office/2014/relationships/chartEx" Target="../charts/chartEx2.xml"/></Relationships>
</file>

<file path=xl/drawings/_rels/drawing3.xml.rels><?xml version="1.0" encoding="UTF-8" standalone="yes"?>
<Relationships xmlns="http://schemas.openxmlformats.org/package/2006/relationships"><Relationship Id="rId1" Type="http://schemas.microsoft.com/office/2014/relationships/chartEx" Target="../charts/chartEx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160020</xdr:colOff>
      <xdr:row>0</xdr:row>
      <xdr:rowOff>60960</xdr:rowOff>
    </xdr:from>
    <xdr:to>
      <xdr:col>15</xdr:col>
      <xdr:colOff>533400</xdr:colOff>
      <xdr:row>28</xdr:row>
      <xdr:rowOff>152400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3E5DD280-A2FA-4BC9-9B4A-B27F29F419E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sz="1100"/>
                <a:t>Excel 버전에서는 이 차트를 사용할 수 없습니다.
이 도형을 편집하거나 이 통합 문서를 다른 파일 형식으로 저장하면 차트가 영구적으로 손상됩니다.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251460</xdr:colOff>
      <xdr:row>0</xdr:row>
      <xdr:rowOff>121920</xdr:rowOff>
    </xdr:from>
    <xdr:to>
      <xdr:col>14</xdr:col>
      <xdr:colOff>38100</xdr:colOff>
      <xdr:row>28</xdr:row>
      <xdr:rowOff>91440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B37F6E89-5C56-425E-AA3B-04E6D949AE3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sz="1100"/>
                <a:t>Excel 버전에서는 이 차트를 사용할 수 없습니다.
이 도형을 편집하거나 이 통합 문서를 다른 파일 형식으로 저장하면 차트가 영구적으로 손상됩니다.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68580</xdr:rowOff>
    </xdr:from>
    <xdr:to>
      <xdr:col>16</xdr:col>
      <xdr:colOff>365760</xdr:colOff>
      <xdr:row>28</xdr:row>
      <xdr:rowOff>106680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AF14F4B6-BE78-44A6-A17B-69A0D1808F3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sz="1100"/>
                <a:t>Excel 버전에서는 이 차트를 사용할 수 없습니다.
이 도형을 편집하거나 이 통합 문서를 다른 파일 형식으로 저장하면 차트가 영구적으로 손상됩니다.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</xdr:colOff>
      <xdr:row>5</xdr:row>
      <xdr:rowOff>68580</xdr:rowOff>
    </xdr:from>
    <xdr:to>
      <xdr:col>15</xdr:col>
      <xdr:colOff>449580</xdr:colOff>
      <xdr:row>28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6AF38E5-9429-484A-B651-FDF72844E7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</xdr:colOff>
      <xdr:row>5</xdr:row>
      <xdr:rowOff>30480</xdr:rowOff>
    </xdr:from>
    <xdr:to>
      <xdr:col>14</xdr:col>
      <xdr:colOff>0</xdr:colOff>
      <xdr:row>28</xdr:row>
      <xdr:rowOff>121920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0C62BE8-60EC-4DE5-A181-03C7825478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68"/>
  <sheetViews>
    <sheetView tabSelected="1" zoomScaleNormal="100" workbookViewId="0" xr3:uid="{AEA406A1-0E4B-5B11-9CD5-51D6E497D94C}">
      <pane xSplit="11" ySplit="2" topLeftCell="M47" activePane="bottomRight" state="frozen"/>
      <selection pane="bottomRight" activeCell="A59" sqref="A59"/>
      <selection pane="bottomLeft" activeCell="A3" sqref="A3"/>
      <selection pane="topRight" activeCell="J1" sqref="J1"/>
    </sheetView>
  </sheetViews>
  <sheetFormatPr defaultColWidth="9.140625" defaultRowHeight="15"/>
  <cols>
    <col min="1" max="1" width="31.42578125" style="4" bestFit="1" customWidth="1"/>
    <col min="2" max="2" width="7.28515625" style="4" customWidth="1"/>
    <col min="3" max="3" width="15" style="4" bestFit="1" customWidth="1"/>
    <col min="4" max="4" width="5.140625" style="4" bestFit="1" customWidth="1"/>
    <col min="5" max="5" width="4.42578125" style="4" bestFit="1" customWidth="1"/>
    <col min="6" max="6" width="5.28515625" style="4" bestFit="1" customWidth="1"/>
    <col min="7" max="7" width="11.85546875" style="4" bestFit="1" customWidth="1"/>
    <col min="8" max="8" width="5.42578125" style="4" bestFit="1" customWidth="1"/>
    <col min="9" max="9" width="8.140625" style="4" bestFit="1" customWidth="1"/>
    <col min="10" max="10" width="11.140625" style="4" bestFit="1" customWidth="1"/>
    <col min="11" max="11" width="10.42578125" style="4" bestFit="1" customWidth="1"/>
    <col min="12" max="12" width="22.42578125" style="4" hidden="1" customWidth="1"/>
    <col min="13" max="13" width="11.42578125" style="4" bestFit="1" customWidth="1"/>
    <col min="14" max="21" width="12.7109375" style="4" hidden="1" customWidth="1"/>
    <col min="22" max="23" width="12.7109375" style="46" customWidth="1"/>
    <col min="24" max="24" width="12.7109375" style="47" customWidth="1"/>
    <col min="25" max="25" width="12.7109375" style="48" customWidth="1"/>
    <col min="26" max="27" width="12.7109375" style="49" customWidth="1"/>
    <col min="28" max="28" width="12.7109375" style="47" customWidth="1"/>
    <col min="29" max="29" width="12.7109375" style="51" customWidth="1"/>
    <col min="30" max="31" width="12.7109375" style="47" customWidth="1"/>
    <col min="32" max="34" width="12.7109375" style="4" hidden="1" customWidth="1"/>
    <col min="35" max="35" width="12.7109375" style="8" hidden="1" customWidth="1"/>
    <col min="36" max="36" width="12.7109375" style="5" hidden="1" customWidth="1"/>
    <col min="37" max="40" width="12.7109375" style="4" hidden="1" customWidth="1"/>
    <col min="41" max="41" width="12.7109375" style="29" customWidth="1"/>
    <col min="42" max="43" width="12.7109375" style="30" customWidth="1"/>
    <col min="44" max="44" width="15.7109375" style="86" bestFit="1" customWidth="1"/>
    <col min="45" max="45" width="12.7109375" style="29" customWidth="1"/>
    <col min="46" max="46" width="12.7109375" style="30" customWidth="1"/>
    <col min="47" max="47" width="12.7109375" style="31" customWidth="1"/>
    <col min="48" max="49" width="12.7109375" style="35" customWidth="1"/>
    <col min="50" max="50" width="12.7109375" style="30" customWidth="1"/>
    <col min="51" max="51" width="12.7109375" style="34" customWidth="1"/>
    <col min="52" max="53" width="12.7109375" style="30" customWidth="1"/>
    <col min="54" max="16384" width="9.140625" style="4"/>
  </cols>
  <sheetData>
    <row r="1" spans="1:53" s="81" customFormat="1">
      <c r="N1" s="100" t="s">
        <v>0</v>
      </c>
      <c r="O1" s="100"/>
      <c r="P1" s="100"/>
      <c r="Q1" s="100"/>
      <c r="R1" s="100"/>
      <c r="S1" s="100"/>
      <c r="T1" s="100"/>
      <c r="U1" s="100"/>
      <c r="V1" s="100" t="s">
        <v>1</v>
      </c>
      <c r="W1" s="100"/>
      <c r="X1" s="100"/>
      <c r="Y1" s="100"/>
      <c r="Z1" s="100"/>
      <c r="AA1" s="100"/>
      <c r="AB1" s="100"/>
      <c r="AC1" s="100"/>
      <c r="AD1" s="100"/>
      <c r="AE1" s="100"/>
      <c r="AF1" s="100" t="s">
        <v>2</v>
      </c>
      <c r="AG1" s="100"/>
      <c r="AH1" s="100"/>
      <c r="AI1" s="100"/>
      <c r="AJ1" s="100"/>
      <c r="AK1" s="100"/>
      <c r="AL1" s="100"/>
      <c r="AM1" s="100"/>
      <c r="AN1" s="100"/>
      <c r="AO1" s="100" t="s">
        <v>3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</row>
    <row r="2" spans="1:53" s="81" customFormat="1">
      <c r="A2" s="99" t="s">
        <v>4</v>
      </c>
      <c r="B2" s="99" t="s">
        <v>5</v>
      </c>
      <c r="C2" s="99" t="s">
        <v>6</v>
      </c>
      <c r="D2" s="99" t="s">
        <v>7</v>
      </c>
      <c r="E2" s="99" t="s">
        <v>8</v>
      </c>
      <c r="F2" s="99" t="s">
        <v>9</v>
      </c>
      <c r="G2" s="99" t="s">
        <v>10</v>
      </c>
      <c r="H2" s="99" t="s">
        <v>11</v>
      </c>
      <c r="I2" s="99" t="s">
        <v>12</v>
      </c>
      <c r="J2" s="99" t="s">
        <v>13</v>
      </c>
      <c r="K2" s="99" t="s">
        <v>14</v>
      </c>
      <c r="L2" s="99" t="s">
        <v>15</v>
      </c>
      <c r="M2" s="99" t="s">
        <v>15</v>
      </c>
      <c r="N2" s="99" t="s">
        <v>16</v>
      </c>
      <c r="O2" s="99" t="s">
        <v>17</v>
      </c>
      <c r="P2" s="99" t="s">
        <v>7</v>
      </c>
      <c r="Q2" s="99" t="s">
        <v>18</v>
      </c>
      <c r="R2" s="99" t="s">
        <v>19</v>
      </c>
      <c r="S2" s="99" t="s">
        <v>20</v>
      </c>
      <c r="T2" s="99" t="s">
        <v>21</v>
      </c>
      <c r="U2" s="99" t="s">
        <v>22</v>
      </c>
      <c r="V2" s="82" t="s">
        <v>16</v>
      </c>
      <c r="W2" s="99" t="s">
        <v>23</v>
      </c>
      <c r="X2" s="99" t="s">
        <v>7</v>
      </c>
      <c r="Y2" s="83" t="s">
        <v>24</v>
      </c>
      <c r="Z2" s="84" t="s">
        <v>18</v>
      </c>
      <c r="AA2" s="84" t="s">
        <v>25</v>
      </c>
      <c r="AB2" s="99" t="s">
        <v>19</v>
      </c>
      <c r="AC2" s="85" t="s">
        <v>20</v>
      </c>
      <c r="AD2" s="99" t="s">
        <v>21</v>
      </c>
      <c r="AE2" s="99" t="s">
        <v>22</v>
      </c>
      <c r="AF2" s="99" t="s">
        <v>16</v>
      </c>
      <c r="AG2" s="99" t="s">
        <v>17</v>
      </c>
      <c r="AH2" s="99" t="s">
        <v>7</v>
      </c>
      <c r="AI2" s="83" t="s">
        <v>24</v>
      </c>
      <c r="AJ2" s="84" t="s">
        <v>18</v>
      </c>
      <c r="AK2" s="99" t="s">
        <v>19</v>
      </c>
      <c r="AL2" s="99" t="s">
        <v>20</v>
      </c>
      <c r="AM2" s="99" t="s">
        <v>21</v>
      </c>
      <c r="AN2" s="99" t="s">
        <v>22</v>
      </c>
      <c r="AO2" s="82" t="s">
        <v>16</v>
      </c>
      <c r="AP2" s="99" t="s">
        <v>26</v>
      </c>
      <c r="AQ2" s="99" t="s">
        <v>27</v>
      </c>
      <c r="AR2" s="82" t="s">
        <v>28</v>
      </c>
      <c r="AS2" s="82" t="s">
        <v>23</v>
      </c>
      <c r="AT2" s="99" t="s">
        <v>7</v>
      </c>
      <c r="AU2" s="83" t="s">
        <v>24</v>
      </c>
      <c r="AV2" s="84" t="s">
        <v>18</v>
      </c>
      <c r="AW2" s="84" t="s">
        <v>25</v>
      </c>
      <c r="AX2" s="99" t="s">
        <v>19</v>
      </c>
      <c r="AY2" s="85" t="s">
        <v>20</v>
      </c>
      <c r="AZ2" s="99" t="s">
        <v>21</v>
      </c>
      <c r="BA2" s="99" t="s">
        <v>22</v>
      </c>
    </row>
    <row r="3" spans="1:53" s="61" customFormat="1">
      <c r="A3" s="61" t="str">
        <f>_xlfn.CONCAT(C3," ",D3, " ", F3, " ($",H3,")")</f>
        <v>Bolt 1800 LiHV ($31)</v>
      </c>
      <c r="B3" s="61">
        <v>1</v>
      </c>
      <c r="C3" s="61" t="s">
        <v>29</v>
      </c>
      <c r="D3" s="61">
        <v>1800</v>
      </c>
      <c r="E3" s="61">
        <v>4</v>
      </c>
      <c r="F3" s="61" t="s">
        <v>30</v>
      </c>
      <c r="G3" s="61" t="s">
        <v>31</v>
      </c>
      <c r="H3" s="62">
        <v>31</v>
      </c>
      <c r="I3" s="61">
        <v>65</v>
      </c>
      <c r="J3" s="63">
        <f>I3*D3/1000</f>
        <v>117</v>
      </c>
      <c r="K3" s="64">
        <v>208</v>
      </c>
      <c r="L3" s="64">
        <f>6+6+6+6</f>
        <v>24</v>
      </c>
      <c r="M3" s="64">
        <f>5+4+4+4</f>
        <v>17</v>
      </c>
      <c r="N3" s="63">
        <f t="shared" ref="N3:N10" si="0">20/(D3/1000)</f>
        <v>11.111111111111111</v>
      </c>
      <c r="O3" s="65" t="s">
        <v>32</v>
      </c>
      <c r="P3" s="61">
        <v>1395</v>
      </c>
      <c r="Q3" s="66">
        <v>21.332999999999998</v>
      </c>
      <c r="R3" s="67">
        <v>14.46</v>
      </c>
      <c r="S3" s="68">
        <v>14.94</v>
      </c>
      <c r="T3" s="67">
        <f t="shared" ref="T3:T10" si="1">S3-R3</f>
        <v>0.47999999999999865</v>
      </c>
      <c r="U3" s="61">
        <v>103</v>
      </c>
      <c r="V3" s="80"/>
      <c r="W3" s="80"/>
      <c r="X3" s="80"/>
      <c r="Y3" s="80"/>
      <c r="Z3" s="80"/>
      <c r="AA3" s="80"/>
      <c r="AB3" s="80"/>
      <c r="AC3" s="80"/>
      <c r="AD3" s="80"/>
      <c r="AE3" s="80"/>
      <c r="AF3" s="63">
        <f>40/(D3/1000)</f>
        <v>22.222222222222221</v>
      </c>
      <c r="AG3" s="65" t="s">
        <v>33</v>
      </c>
      <c r="AH3" s="61">
        <v>1530</v>
      </c>
      <c r="AI3" s="69">
        <f t="shared" ref="AI3:AI11" si="2">AH3/D3</f>
        <v>0.85</v>
      </c>
      <c r="AJ3" s="66">
        <v>22.661999999999999</v>
      </c>
      <c r="AK3" s="67">
        <v>13.99</v>
      </c>
      <c r="AL3" s="68">
        <v>14.82</v>
      </c>
      <c r="AM3" s="68">
        <f t="shared" ref="AM3:AM11" si="3">AL3-AK3</f>
        <v>0.83000000000000007</v>
      </c>
      <c r="AN3" s="61">
        <v>123</v>
      </c>
      <c r="AO3" s="70">
        <f t="shared" ref="AO3:AO10" si="4">$AP3/(D3/1000)</f>
        <v>34.444444444444443</v>
      </c>
      <c r="AP3" s="70">
        <v>62</v>
      </c>
      <c r="AQ3" s="70">
        <v>2</v>
      </c>
      <c r="AR3" s="89">
        <v>65</v>
      </c>
      <c r="AS3" s="89">
        <v>72</v>
      </c>
      <c r="AT3" s="71">
        <v>1233</v>
      </c>
      <c r="AU3" s="72">
        <f t="shared" ref="AU3:AU32" si="5">AT3/D3</f>
        <v>0.68500000000000005</v>
      </c>
      <c r="AV3" s="73">
        <v>17.829999999999998</v>
      </c>
      <c r="AW3" s="73">
        <f t="shared" ref="AW3:AW9" si="6">K3/AV3</f>
        <v>11.665731912507011</v>
      </c>
      <c r="AX3" s="74">
        <v>13.99</v>
      </c>
      <c r="AY3" s="75">
        <v>15.06</v>
      </c>
      <c r="AZ3" s="75">
        <f t="shared" ref="AZ3:AZ11" si="7">AY3-AX3</f>
        <v>1.0700000000000003</v>
      </c>
      <c r="BA3" s="71">
        <v>122</v>
      </c>
    </row>
    <row r="4" spans="1:53">
      <c r="A4" s="61" t="str">
        <f t="shared" ref="A4:A35" si="8">_xlfn.CONCAT(C4," ",D4, " ", F4, " ($",H4,")")</f>
        <v>Nano-Tech 1800 LiPo ($28)</v>
      </c>
      <c r="B4" s="4">
        <v>1</v>
      </c>
      <c r="C4" s="4" t="s">
        <v>34</v>
      </c>
      <c r="D4" s="4">
        <v>1800</v>
      </c>
      <c r="E4" s="4">
        <v>4</v>
      </c>
      <c r="F4" s="4" t="s">
        <v>35</v>
      </c>
      <c r="G4" s="4" t="s">
        <v>31</v>
      </c>
      <c r="H4" s="17">
        <v>28</v>
      </c>
      <c r="I4" s="4">
        <v>65</v>
      </c>
      <c r="J4" s="18">
        <f>I4*D4/1000</f>
        <v>117</v>
      </c>
      <c r="K4" s="4">
        <v>232</v>
      </c>
      <c r="L4" s="10">
        <f>7+6+6+7</f>
        <v>26</v>
      </c>
      <c r="M4" s="10">
        <f>4+4+4+5</f>
        <v>17</v>
      </c>
      <c r="N4" s="18">
        <f t="shared" si="0"/>
        <v>11.111111111111111</v>
      </c>
      <c r="O4" s="3" t="s">
        <v>36</v>
      </c>
      <c r="P4" s="4">
        <v>1445</v>
      </c>
      <c r="Q4" s="1">
        <v>21.6</v>
      </c>
      <c r="R4" s="2">
        <v>14.35</v>
      </c>
      <c r="S4" s="6">
        <v>14.88</v>
      </c>
      <c r="T4" s="2">
        <f t="shared" si="1"/>
        <v>0.53000000000000114</v>
      </c>
      <c r="U4" s="4">
        <v>101</v>
      </c>
      <c r="V4" s="60"/>
      <c r="W4" s="60"/>
      <c r="X4" s="60"/>
      <c r="Y4" s="60"/>
      <c r="Z4" s="60"/>
      <c r="AA4" s="60"/>
      <c r="AB4" s="60"/>
      <c r="AC4" s="60"/>
      <c r="AD4" s="60"/>
      <c r="AE4" s="60"/>
      <c r="AF4" s="18">
        <f>40/(D4/1000)</f>
        <v>22.222222222222221</v>
      </c>
      <c r="AG4" s="3" t="s">
        <v>37</v>
      </c>
      <c r="AH4" s="4">
        <v>1478</v>
      </c>
      <c r="AI4" s="8">
        <f t="shared" si="2"/>
        <v>0.82111111111111112</v>
      </c>
      <c r="AJ4" s="1">
        <v>21.463999999999999</v>
      </c>
      <c r="AK4" s="2">
        <v>13.99</v>
      </c>
      <c r="AL4" s="6">
        <v>14.82</v>
      </c>
      <c r="AM4" s="6">
        <f t="shared" si="3"/>
        <v>0.83000000000000007</v>
      </c>
      <c r="AN4" s="4">
        <v>118</v>
      </c>
      <c r="AO4" s="29">
        <f t="shared" si="4"/>
        <v>33.333333333333336</v>
      </c>
      <c r="AP4" s="29">
        <v>60</v>
      </c>
      <c r="AQ4" s="29">
        <v>6</v>
      </c>
      <c r="AR4" s="90">
        <v>49</v>
      </c>
      <c r="AS4" s="90">
        <v>76</v>
      </c>
      <c r="AT4" s="30">
        <v>1177</v>
      </c>
      <c r="AU4" s="31">
        <f t="shared" si="5"/>
        <v>0.65388888888888885</v>
      </c>
      <c r="AV4" s="32">
        <v>16.728999999999999</v>
      </c>
      <c r="AW4" s="32">
        <f t="shared" si="6"/>
        <v>13.868133181899696</v>
      </c>
      <c r="AX4" s="33">
        <v>13.99</v>
      </c>
      <c r="AY4" s="34">
        <v>15.06</v>
      </c>
      <c r="AZ4" s="34">
        <f t="shared" si="7"/>
        <v>1.0700000000000003</v>
      </c>
      <c r="BA4" s="30">
        <v>111</v>
      </c>
    </row>
    <row r="5" spans="1:53">
      <c r="A5" s="61" t="str">
        <f t="shared" si="8"/>
        <v>Bolt 1300 LiHV ($26)</v>
      </c>
      <c r="B5" s="4">
        <v>1</v>
      </c>
      <c r="C5" s="4" t="s">
        <v>29</v>
      </c>
      <c r="D5" s="4">
        <v>1300</v>
      </c>
      <c r="E5" s="4">
        <v>4</v>
      </c>
      <c r="F5" s="4" t="s">
        <v>30</v>
      </c>
      <c r="G5" s="4" t="s">
        <v>38</v>
      </c>
      <c r="H5" s="17">
        <v>26</v>
      </c>
      <c r="I5" s="4">
        <v>65</v>
      </c>
      <c r="J5" s="18">
        <f>I5*D5/1000</f>
        <v>84.5</v>
      </c>
      <c r="K5" s="4">
        <v>154</v>
      </c>
      <c r="L5" s="10">
        <f>8+8+8+7</f>
        <v>31</v>
      </c>
      <c r="M5" s="10">
        <f>5+6+5+5</f>
        <v>21</v>
      </c>
      <c r="N5" s="18">
        <f t="shared" si="0"/>
        <v>15.384615384615383</v>
      </c>
      <c r="O5" s="3" t="s">
        <v>39</v>
      </c>
      <c r="P5" s="4">
        <v>1043</v>
      </c>
      <c r="Q5" s="5">
        <v>15.55</v>
      </c>
      <c r="R5" s="2">
        <v>14.35</v>
      </c>
      <c r="S5" s="6">
        <v>14.88</v>
      </c>
      <c r="T5" s="2">
        <f t="shared" si="1"/>
        <v>0.53000000000000114</v>
      </c>
      <c r="U5" s="4">
        <v>108</v>
      </c>
      <c r="V5" s="46">
        <f t="shared" ref="V5:V10" si="9">N5</f>
        <v>15.384615384615383</v>
      </c>
      <c r="W5" s="46">
        <f>3*60+38</f>
        <v>218</v>
      </c>
      <c r="X5" s="47">
        <v>1163</v>
      </c>
      <c r="Y5" s="48">
        <f t="shared" ref="Y5:Y10" si="10">X5/D5</f>
        <v>0.89461538461538459</v>
      </c>
      <c r="Z5" s="49">
        <v>17.440000000000001</v>
      </c>
      <c r="AA5" s="49">
        <f t="shared" ref="AA5:AA10" si="11">K5/Z5</f>
        <v>8.8302752293577971</v>
      </c>
      <c r="AB5" s="50">
        <v>13.99</v>
      </c>
      <c r="AC5" s="51">
        <v>14.64</v>
      </c>
      <c r="AD5" s="51">
        <f t="shared" ref="AD5:AD10" si="12">AC5-AB5</f>
        <v>0.65000000000000036</v>
      </c>
      <c r="AE5" s="52">
        <v>113</v>
      </c>
      <c r="AF5" s="18">
        <f>40/(D5/1000)</f>
        <v>30.769230769230766</v>
      </c>
      <c r="AG5" s="3" t="s">
        <v>40</v>
      </c>
      <c r="AH5" s="4">
        <v>1051</v>
      </c>
      <c r="AI5" s="8">
        <f t="shared" si="2"/>
        <v>0.80846153846153845</v>
      </c>
      <c r="AJ5" s="5">
        <v>15.423999999999999</v>
      </c>
      <c r="AK5" s="2">
        <v>13.99</v>
      </c>
      <c r="AL5" s="6">
        <v>14.88</v>
      </c>
      <c r="AM5" s="6">
        <f t="shared" si="3"/>
        <v>0.89000000000000057</v>
      </c>
      <c r="AN5" s="27">
        <v>127</v>
      </c>
      <c r="AO5" s="29">
        <f t="shared" si="4"/>
        <v>46.153846153846153</v>
      </c>
      <c r="AP5" s="29">
        <v>60</v>
      </c>
      <c r="AQ5" s="29">
        <v>6</v>
      </c>
      <c r="AR5" s="90">
        <v>25</v>
      </c>
      <c r="AS5" s="90">
        <v>53</v>
      </c>
      <c r="AT5" s="30">
        <v>860</v>
      </c>
      <c r="AU5" s="31">
        <f t="shared" si="5"/>
        <v>0.66153846153846152</v>
      </c>
      <c r="AV5" s="35">
        <v>12.45</v>
      </c>
      <c r="AW5" s="32">
        <f t="shared" si="6"/>
        <v>12.369477911646587</v>
      </c>
      <c r="AX5" s="33">
        <v>13.99</v>
      </c>
      <c r="AY5" s="34">
        <v>15.06</v>
      </c>
      <c r="AZ5" s="34">
        <f t="shared" si="7"/>
        <v>1.0700000000000003</v>
      </c>
      <c r="BA5" s="36">
        <v>122</v>
      </c>
    </row>
    <row r="6" spans="1:53">
      <c r="A6" s="61" t="str">
        <f t="shared" si="8"/>
        <v>Mad Dog 1300 LiHV ($35)</v>
      </c>
      <c r="B6" s="4">
        <v>1</v>
      </c>
      <c r="C6" s="4" t="s">
        <v>41</v>
      </c>
      <c r="D6" s="4">
        <v>1300</v>
      </c>
      <c r="E6" s="4">
        <v>4</v>
      </c>
      <c r="F6" s="4" t="s">
        <v>30</v>
      </c>
      <c r="G6" s="4" t="s">
        <v>38</v>
      </c>
      <c r="H6" s="19">
        <v>35</v>
      </c>
      <c r="I6" s="4">
        <v>80</v>
      </c>
      <c r="J6" s="18">
        <f>I6*D6/1000</f>
        <v>104</v>
      </c>
      <c r="K6" s="27">
        <v>161</v>
      </c>
      <c r="L6" s="4">
        <f>6+7+6+6</f>
        <v>25</v>
      </c>
      <c r="M6" s="4">
        <f>5+6+5+6</f>
        <v>22</v>
      </c>
      <c r="N6" s="18">
        <f t="shared" si="0"/>
        <v>15.384615384615383</v>
      </c>
      <c r="O6" s="3" t="s">
        <v>42</v>
      </c>
      <c r="P6" s="4">
        <v>1043</v>
      </c>
      <c r="Q6" s="5">
        <v>15.824999999999999</v>
      </c>
      <c r="R6" s="2">
        <v>14.4</v>
      </c>
      <c r="S6" s="2">
        <v>15</v>
      </c>
      <c r="T6" s="2">
        <f t="shared" si="1"/>
        <v>0.59999999999999964</v>
      </c>
      <c r="U6" s="4">
        <v>106</v>
      </c>
      <c r="V6" s="46">
        <f t="shared" si="9"/>
        <v>15.384615384615383</v>
      </c>
      <c r="W6" s="46">
        <f>3*60+40</f>
        <v>220</v>
      </c>
      <c r="X6" s="47">
        <v>1175</v>
      </c>
      <c r="Y6" s="48">
        <f t="shared" si="10"/>
        <v>0.90384615384615385</v>
      </c>
      <c r="Z6" s="53">
        <v>17.652999999999999</v>
      </c>
      <c r="AA6" s="49">
        <f t="shared" si="11"/>
        <v>9.1202628448422374</v>
      </c>
      <c r="AB6" s="50">
        <v>13.99</v>
      </c>
      <c r="AC6" s="50">
        <v>14.7</v>
      </c>
      <c r="AD6" s="51">
        <f t="shared" si="12"/>
        <v>0.70999999999999908</v>
      </c>
      <c r="AE6" s="52">
        <v>112</v>
      </c>
      <c r="AF6" s="18">
        <f>40/(D6/1000)</f>
        <v>30.769230769230766</v>
      </c>
      <c r="AG6" s="3" t="s">
        <v>43</v>
      </c>
      <c r="AH6" s="4">
        <v>1104</v>
      </c>
      <c r="AI6" s="8">
        <f t="shared" si="2"/>
        <v>0.84923076923076923</v>
      </c>
      <c r="AJ6" s="1">
        <v>16.207999999999998</v>
      </c>
      <c r="AK6" s="2">
        <v>13.99</v>
      </c>
      <c r="AL6" s="2">
        <v>14.82</v>
      </c>
      <c r="AM6" s="6">
        <f t="shared" si="3"/>
        <v>0.83000000000000007</v>
      </c>
      <c r="AN6" s="27">
        <v>128</v>
      </c>
      <c r="AO6" s="29">
        <f t="shared" si="4"/>
        <v>52.307692307692307</v>
      </c>
      <c r="AP6" s="29">
        <v>68</v>
      </c>
      <c r="AQ6" s="29">
        <v>7</v>
      </c>
      <c r="AR6" s="90">
        <v>20</v>
      </c>
      <c r="AS6" s="90">
        <v>50</v>
      </c>
      <c r="AT6" s="30">
        <v>923</v>
      </c>
      <c r="AU6" s="31">
        <f t="shared" si="5"/>
        <v>0.71</v>
      </c>
      <c r="AV6" s="32">
        <v>13.218999999999999</v>
      </c>
      <c r="AW6" s="32">
        <f t="shared" si="6"/>
        <v>12.179438686738786</v>
      </c>
      <c r="AX6" s="33">
        <v>13.99</v>
      </c>
      <c r="AY6" s="33">
        <v>15.06</v>
      </c>
      <c r="AZ6" s="34">
        <f t="shared" si="7"/>
        <v>1.0700000000000003</v>
      </c>
      <c r="BA6" s="37">
        <v>127</v>
      </c>
    </row>
    <row r="7" spans="1:53">
      <c r="A7" s="61" t="str">
        <f t="shared" si="8"/>
        <v>Green Gorilla 1400 LiHV ($34)</v>
      </c>
      <c r="B7" s="4">
        <v>1</v>
      </c>
      <c r="C7" s="4" t="s">
        <v>44</v>
      </c>
      <c r="D7" s="10">
        <v>1400</v>
      </c>
      <c r="E7" s="4">
        <v>4</v>
      </c>
      <c r="F7" s="4" t="s">
        <v>30</v>
      </c>
      <c r="G7" s="4" t="s">
        <v>38</v>
      </c>
      <c r="H7" s="17">
        <v>34</v>
      </c>
      <c r="I7" s="77"/>
      <c r="J7" s="77"/>
      <c r="K7" s="10">
        <v>150</v>
      </c>
      <c r="L7" s="4">
        <f>9+8+9+8</f>
        <v>34</v>
      </c>
      <c r="M7" s="4">
        <f>6+6+6+6</f>
        <v>24</v>
      </c>
      <c r="N7" s="18">
        <f t="shared" si="0"/>
        <v>14.285714285714286</v>
      </c>
      <c r="O7" s="7" t="s">
        <v>45</v>
      </c>
      <c r="P7" s="10">
        <v>1126</v>
      </c>
      <c r="Q7" s="5">
        <v>16.873000000000001</v>
      </c>
      <c r="R7" s="6">
        <v>14.23</v>
      </c>
      <c r="S7" s="6">
        <v>14.94</v>
      </c>
      <c r="T7" s="6">
        <f t="shared" si="1"/>
        <v>0.70999999999999908</v>
      </c>
      <c r="U7" s="4">
        <v>118</v>
      </c>
      <c r="V7" s="46">
        <f t="shared" si="9"/>
        <v>14.285714285714286</v>
      </c>
      <c r="W7" s="46">
        <f>180+51</f>
        <v>231</v>
      </c>
      <c r="X7" s="52">
        <v>1223</v>
      </c>
      <c r="Y7" s="48">
        <f t="shared" si="10"/>
        <v>0.87357142857142855</v>
      </c>
      <c r="Z7" s="53">
        <v>18.199000000000002</v>
      </c>
      <c r="AA7" s="49">
        <f t="shared" si="11"/>
        <v>8.2422111105005769</v>
      </c>
      <c r="AB7" s="51">
        <v>13.99</v>
      </c>
      <c r="AC7" s="51">
        <v>14.82</v>
      </c>
      <c r="AD7" s="51">
        <f t="shared" si="12"/>
        <v>0.83000000000000007</v>
      </c>
      <c r="AE7" s="47">
        <v>122</v>
      </c>
      <c r="AF7" s="18">
        <f>40/(D7/1000)</f>
        <v>28.571428571428573</v>
      </c>
      <c r="AG7" s="7" t="s">
        <v>46</v>
      </c>
      <c r="AH7" s="10">
        <v>974</v>
      </c>
      <c r="AI7" s="8">
        <f t="shared" si="2"/>
        <v>0.69571428571428573</v>
      </c>
      <c r="AJ7" s="1">
        <v>14.17</v>
      </c>
      <c r="AK7" s="6">
        <v>13.99</v>
      </c>
      <c r="AL7" s="6">
        <v>15.12</v>
      </c>
      <c r="AM7" s="6">
        <f t="shared" si="3"/>
        <v>1.129999999999999</v>
      </c>
      <c r="AN7" s="27">
        <v>131</v>
      </c>
      <c r="AO7" s="29">
        <f t="shared" si="4"/>
        <v>42.857142857142861</v>
      </c>
      <c r="AP7" s="29">
        <v>60</v>
      </c>
      <c r="AQ7" s="29">
        <v>16</v>
      </c>
      <c r="AR7" s="90">
        <v>8</v>
      </c>
      <c r="AS7" s="91">
        <v>61</v>
      </c>
      <c r="AT7" s="38">
        <v>901</v>
      </c>
      <c r="AU7" s="31">
        <f t="shared" si="5"/>
        <v>0.64357142857142857</v>
      </c>
      <c r="AV7" s="32">
        <v>12.843</v>
      </c>
      <c r="AW7" s="32">
        <f t="shared" si="6"/>
        <v>11.6795141322121</v>
      </c>
      <c r="AX7" s="34">
        <v>13.99</v>
      </c>
      <c r="AY7" s="34">
        <v>15.12</v>
      </c>
      <c r="AZ7" s="34">
        <f t="shared" si="7"/>
        <v>1.129999999999999</v>
      </c>
      <c r="BA7" s="37">
        <v>129</v>
      </c>
    </row>
    <row r="8" spans="1:53" s="12" customFormat="1">
      <c r="A8" s="61" t="str">
        <f t="shared" si="8"/>
        <v>SMC 1300 LiPo ($25)</v>
      </c>
      <c r="B8" s="12">
        <v>1</v>
      </c>
      <c r="C8" s="12" t="s">
        <v>47</v>
      </c>
      <c r="D8" s="12">
        <v>1300</v>
      </c>
      <c r="E8" s="12">
        <v>4</v>
      </c>
      <c r="F8" s="12" t="s">
        <v>35</v>
      </c>
      <c r="G8" s="12" t="s">
        <v>48</v>
      </c>
      <c r="H8" s="20">
        <v>25</v>
      </c>
      <c r="I8" s="12">
        <v>28</v>
      </c>
      <c r="J8" s="13">
        <v>37</v>
      </c>
      <c r="K8" s="12">
        <v>151</v>
      </c>
      <c r="L8" s="12">
        <v>34</v>
      </c>
      <c r="M8" s="12">
        <f>6+6+6+6</f>
        <v>24</v>
      </c>
      <c r="N8" s="13">
        <f t="shared" si="0"/>
        <v>15.384615384615383</v>
      </c>
      <c r="O8" s="14" t="s">
        <v>49</v>
      </c>
      <c r="P8" s="12">
        <v>1043</v>
      </c>
      <c r="Q8" s="15">
        <v>15.367000000000001</v>
      </c>
      <c r="R8" s="16">
        <v>14.17</v>
      </c>
      <c r="S8" s="16">
        <v>14.82</v>
      </c>
      <c r="T8" s="16">
        <f t="shared" si="1"/>
        <v>0.65000000000000036</v>
      </c>
      <c r="U8" s="12">
        <v>115</v>
      </c>
      <c r="V8" s="46">
        <f t="shared" si="9"/>
        <v>15.384615384615383</v>
      </c>
      <c r="W8" s="46">
        <f>180+28</f>
        <v>208</v>
      </c>
      <c r="X8" s="54">
        <v>1097</v>
      </c>
      <c r="Y8" s="48">
        <f t="shared" si="10"/>
        <v>0.8438461538461538</v>
      </c>
      <c r="Z8" s="55">
        <v>16.114000000000001</v>
      </c>
      <c r="AA8" s="49">
        <f t="shared" si="11"/>
        <v>9.3707335236440361</v>
      </c>
      <c r="AB8" s="56">
        <v>13.99</v>
      </c>
      <c r="AC8" s="56">
        <v>14.76</v>
      </c>
      <c r="AD8" s="56">
        <f t="shared" si="12"/>
        <v>0.76999999999999957</v>
      </c>
      <c r="AE8" s="54">
        <v>121</v>
      </c>
      <c r="AF8" s="18">
        <v>31</v>
      </c>
      <c r="AG8" s="14" t="s">
        <v>50</v>
      </c>
      <c r="AH8" s="12">
        <v>770</v>
      </c>
      <c r="AI8" s="8">
        <f t="shared" si="2"/>
        <v>0.59230769230769231</v>
      </c>
      <c r="AJ8" s="15">
        <v>11.004</v>
      </c>
      <c r="AK8" s="16">
        <v>13.99</v>
      </c>
      <c r="AL8" s="16">
        <v>15.24</v>
      </c>
      <c r="AM8" s="16">
        <f t="shared" si="3"/>
        <v>1.25</v>
      </c>
      <c r="AN8" s="12">
        <v>122</v>
      </c>
      <c r="AO8" s="29">
        <f t="shared" si="4"/>
        <v>44.615384615384613</v>
      </c>
      <c r="AP8" s="29">
        <v>58</v>
      </c>
      <c r="AQ8" s="29">
        <v>16</v>
      </c>
      <c r="AR8" s="90">
        <v>5</v>
      </c>
      <c r="AS8" s="93">
        <v>46</v>
      </c>
      <c r="AT8" s="39">
        <v>642</v>
      </c>
      <c r="AU8" s="31">
        <f t="shared" si="5"/>
        <v>0.49384615384615382</v>
      </c>
      <c r="AV8" s="40">
        <v>9.048</v>
      </c>
      <c r="AW8" s="32">
        <f t="shared" si="6"/>
        <v>16.688770999115828</v>
      </c>
      <c r="AX8" s="41">
        <v>13.99</v>
      </c>
      <c r="AY8" s="41">
        <v>15.3</v>
      </c>
      <c r="AZ8" s="41">
        <f t="shared" si="7"/>
        <v>1.3100000000000005</v>
      </c>
      <c r="BA8" s="39">
        <v>103</v>
      </c>
    </row>
    <row r="9" spans="1:53">
      <c r="A9" s="61" t="str">
        <f t="shared" si="8"/>
        <v>Bonka 1300 LiPo ($29)</v>
      </c>
      <c r="B9" s="4">
        <v>1</v>
      </c>
      <c r="C9" s="4" t="s">
        <v>51</v>
      </c>
      <c r="D9" s="4">
        <v>1300</v>
      </c>
      <c r="E9" s="4">
        <v>4</v>
      </c>
      <c r="F9" s="4" t="s">
        <v>35</v>
      </c>
      <c r="G9" s="4" t="s">
        <v>38</v>
      </c>
      <c r="H9" s="17">
        <v>29</v>
      </c>
      <c r="I9" s="4">
        <v>75</v>
      </c>
      <c r="J9" s="18">
        <f>I9*D9/1000</f>
        <v>97.5</v>
      </c>
      <c r="K9" s="4">
        <v>155</v>
      </c>
      <c r="L9" s="10">
        <f>9+9+10+8</f>
        <v>36</v>
      </c>
      <c r="M9" s="4">
        <f>6+6+7+6</f>
        <v>25</v>
      </c>
      <c r="N9" s="18">
        <f t="shared" si="0"/>
        <v>15.384615384615383</v>
      </c>
      <c r="O9" s="3" t="s">
        <v>49</v>
      </c>
      <c r="P9" s="4">
        <v>1043</v>
      </c>
      <c r="Q9" s="5">
        <v>15.346</v>
      </c>
      <c r="R9" s="6">
        <v>14.17</v>
      </c>
      <c r="S9" s="6">
        <v>14.88</v>
      </c>
      <c r="T9" s="6">
        <f t="shared" si="1"/>
        <v>0.71000000000000085</v>
      </c>
      <c r="U9" s="4">
        <v>117</v>
      </c>
      <c r="V9" s="46">
        <f t="shared" si="9"/>
        <v>15.384615384615383</v>
      </c>
      <c r="W9" s="46">
        <f>180+31</f>
        <v>211</v>
      </c>
      <c r="X9" s="47">
        <v>1114</v>
      </c>
      <c r="Y9" s="48">
        <f t="shared" si="10"/>
        <v>0.8569230769230769</v>
      </c>
      <c r="Z9" s="49">
        <v>16.300999999999998</v>
      </c>
      <c r="AA9" s="49">
        <f t="shared" si="11"/>
        <v>9.5086191031225091</v>
      </c>
      <c r="AB9" s="51">
        <v>13.99</v>
      </c>
      <c r="AC9" s="51">
        <v>14.76</v>
      </c>
      <c r="AD9" s="51">
        <f t="shared" si="12"/>
        <v>0.76999999999999957</v>
      </c>
      <c r="AE9" s="47">
        <v>121</v>
      </c>
      <c r="AF9" s="18">
        <f>40/(D9/1000)</f>
        <v>30.769230769230766</v>
      </c>
      <c r="AG9" s="3" t="s">
        <v>52</v>
      </c>
      <c r="AH9" s="4">
        <v>837</v>
      </c>
      <c r="AI9" s="8">
        <f t="shared" si="2"/>
        <v>0.64384615384615385</v>
      </c>
      <c r="AJ9" s="5">
        <v>11.968999999999999</v>
      </c>
      <c r="AK9" s="6">
        <v>13.99</v>
      </c>
      <c r="AL9" s="6">
        <v>15.12</v>
      </c>
      <c r="AM9" s="6">
        <f t="shared" si="3"/>
        <v>1.129999999999999</v>
      </c>
      <c r="AN9" s="27">
        <v>126</v>
      </c>
      <c r="AO9" s="29">
        <f t="shared" si="4"/>
        <v>44.615384615384613</v>
      </c>
      <c r="AP9" s="29">
        <v>58</v>
      </c>
      <c r="AQ9" s="29">
        <v>13</v>
      </c>
      <c r="AR9" s="90">
        <v>5</v>
      </c>
      <c r="AS9" s="90">
        <v>41</v>
      </c>
      <c r="AT9" s="30">
        <v>643</v>
      </c>
      <c r="AU9" s="31">
        <f t="shared" si="5"/>
        <v>0.49461538461538462</v>
      </c>
      <c r="AV9" s="35">
        <v>9.0879999999999992</v>
      </c>
      <c r="AW9" s="32">
        <f t="shared" si="6"/>
        <v>17.055457746478876</v>
      </c>
      <c r="AX9" s="34">
        <v>13.99</v>
      </c>
      <c r="AY9" s="34">
        <v>15.36</v>
      </c>
      <c r="AZ9" s="34">
        <f t="shared" si="7"/>
        <v>1.3699999999999992</v>
      </c>
      <c r="BA9" s="37">
        <v>111</v>
      </c>
    </row>
    <row r="10" spans="1:53">
      <c r="A10" s="61" t="str">
        <f t="shared" si="8"/>
        <v>Green Gorilla 1100 LiHV ($28)</v>
      </c>
      <c r="B10" s="4">
        <v>1</v>
      </c>
      <c r="C10" s="4" t="s">
        <v>44</v>
      </c>
      <c r="D10" s="4">
        <v>1100</v>
      </c>
      <c r="E10" s="4">
        <v>4</v>
      </c>
      <c r="F10" s="4" t="s">
        <v>30</v>
      </c>
      <c r="G10" s="4" t="s">
        <v>38</v>
      </c>
      <c r="H10" s="17">
        <v>28</v>
      </c>
      <c r="I10" s="77"/>
      <c r="J10" s="77"/>
      <c r="K10" s="4">
        <v>118</v>
      </c>
      <c r="L10" s="4">
        <f>11+11+10+10</f>
        <v>42</v>
      </c>
      <c r="M10" s="4">
        <f>7+8+8+8</f>
        <v>31</v>
      </c>
      <c r="N10" s="18">
        <f t="shared" si="0"/>
        <v>18.18181818181818</v>
      </c>
      <c r="O10" s="3" t="s">
        <v>53</v>
      </c>
      <c r="P10" s="4">
        <v>880</v>
      </c>
      <c r="Q10" s="5">
        <v>13.028</v>
      </c>
      <c r="R10" s="9">
        <v>14.11</v>
      </c>
      <c r="S10" s="6">
        <v>14.88</v>
      </c>
      <c r="T10" s="6">
        <f t="shared" si="1"/>
        <v>0.77000000000000135</v>
      </c>
      <c r="U10" s="27">
        <v>126</v>
      </c>
      <c r="V10" s="46">
        <f t="shared" si="9"/>
        <v>18.18181818181818</v>
      </c>
      <c r="W10" s="46">
        <f>120+51</f>
        <v>171</v>
      </c>
      <c r="X10" s="47">
        <v>905</v>
      </c>
      <c r="Y10" s="48">
        <f t="shared" si="10"/>
        <v>0.82272727272727275</v>
      </c>
      <c r="Z10" s="49">
        <v>13.372999999999999</v>
      </c>
      <c r="AA10" s="49">
        <f t="shared" si="11"/>
        <v>8.8237493456965534</v>
      </c>
      <c r="AB10" s="57">
        <v>13.99</v>
      </c>
      <c r="AC10" s="51">
        <v>14.82</v>
      </c>
      <c r="AD10" s="51">
        <f t="shared" si="12"/>
        <v>0.83000000000000007</v>
      </c>
      <c r="AE10" s="58">
        <v>128</v>
      </c>
      <c r="AF10" s="18">
        <f>40/(D10/1000)</f>
        <v>36.36363636363636</v>
      </c>
      <c r="AG10" s="3" t="s">
        <v>54</v>
      </c>
      <c r="AH10" s="4">
        <v>583</v>
      </c>
      <c r="AI10" s="8">
        <f t="shared" si="2"/>
        <v>0.53</v>
      </c>
      <c r="AJ10" s="5">
        <v>8.3789999999999996</v>
      </c>
      <c r="AK10" s="9">
        <v>13.99</v>
      </c>
      <c r="AL10" s="6">
        <v>15.36</v>
      </c>
      <c r="AM10" s="6">
        <f t="shared" si="3"/>
        <v>1.3699999999999992</v>
      </c>
      <c r="AN10" s="27">
        <v>131</v>
      </c>
      <c r="AO10" s="29">
        <f t="shared" si="4"/>
        <v>54.54545454545454</v>
      </c>
      <c r="AP10" s="29">
        <v>60</v>
      </c>
      <c r="AQ10" s="29">
        <v>15</v>
      </c>
      <c r="AR10" s="90">
        <v>5</v>
      </c>
      <c r="AS10" s="90">
        <v>38</v>
      </c>
      <c r="AT10" s="30">
        <v>635</v>
      </c>
      <c r="AU10" s="31">
        <f t="shared" si="5"/>
        <v>0.57727272727272727</v>
      </c>
      <c r="AV10" s="35">
        <v>9.0139999999999993</v>
      </c>
      <c r="AW10" s="32">
        <f>AV10/K10</f>
        <v>7.6389830508474574E-2</v>
      </c>
      <c r="AX10" s="42">
        <v>13.99</v>
      </c>
      <c r="AY10" s="34">
        <v>15.3</v>
      </c>
      <c r="AZ10" s="34">
        <f t="shared" si="7"/>
        <v>1.3100000000000005</v>
      </c>
      <c r="BA10" s="37">
        <v>129</v>
      </c>
    </row>
    <row r="11" spans="1:53">
      <c r="A11" s="61" t="str">
        <f t="shared" si="8"/>
        <v>Bolt 1000 LiHV ($17)</v>
      </c>
      <c r="B11" s="4">
        <v>2</v>
      </c>
      <c r="C11" s="4" t="s">
        <v>29</v>
      </c>
      <c r="D11" s="4">
        <v>1000</v>
      </c>
      <c r="E11" s="4">
        <v>4</v>
      </c>
      <c r="F11" s="4" t="s">
        <v>30</v>
      </c>
      <c r="G11" s="4" t="s">
        <v>31</v>
      </c>
      <c r="H11" s="21">
        <v>17</v>
      </c>
      <c r="I11" s="4">
        <v>65</v>
      </c>
      <c r="J11" s="18">
        <f>I11*D11/1000</f>
        <v>65</v>
      </c>
      <c r="K11" s="4">
        <v>119</v>
      </c>
      <c r="L11" s="77" t="s">
        <v>55</v>
      </c>
      <c r="M11" s="4">
        <f>8+6+6+6</f>
        <v>26</v>
      </c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22">
        <f>40/(D11/1000)</f>
        <v>40</v>
      </c>
      <c r="AG11" s="23">
        <v>4.2361111111111106E-2</v>
      </c>
      <c r="AH11" s="22">
        <v>668</v>
      </c>
      <c r="AI11" s="24">
        <f t="shared" si="2"/>
        <v>0.66800000000000004</v>
      </c>
      <c r="AJ11" s="25">
        <v>9.6259999999999994</v>
      </c>
      <c r="AK11" s="22">
        <v>13.99</v>
      </c>
      <c r="AL11" s="22">
        <v>15.18</v>
      </c>
      <c r="AM11" s="22">
        <f t="shared" si="3"/>
        <v>1.1899999999999995</v>
      </c>
      <c r="AN11" s="28">
        <v>129</v>
      </c>
      <c r="AO11" s="29">
        <f t="shared" ref="AO11:AO35" si="13">60/(D11/1000)</f>
        <v>60</v>
      </c>
      <c r="AP11" s="30">
        <v>58</v>
      </c>
      <c r="AQ11" s="30">
        <v>12</v>
      </c>
      <c r="AR11" s="90">
        <v>8</v>
      </c>
      <c r="AS11" s="29">
        <v>46</v>
      </c>
      <c r="AT11" s="30">
        <v>704</v>
      </c>
      <c r="AU11" s="43">
        <f t="shared" si="5"/>
        <v>0.70399999999999996</v>
      </c>
      <c r="AV11" s="35">
        <v>10.053000000000001</v>
      </c>
      <c r="AW11" s="32">
        <f t="shared" ref="AW11:AW32" si="14">K11/AV11</f>
        <v>11.837262508703869</v>
      </c>
      <c r="AX11" s="30">
        <v>13.99</v>
      </c>
      <c r="AY11" s="34">
        <v>15.12</v>
      </c>
      <c r="AZ11" s="30">
        <f t="shared" si="7"/>
        <v>1.129999999999999</v>
      </c>
      <c r="BA11" s="37">
        <v>128</v>
      </c>
    </row>
    <row r="12" spans="1:53">
      <c r="A12" s="61" t="str">
        <f t="shared" si="8"/>
        <v>Dinogy 1300 LiPo ($20)</v>
      </c>
      <c r="B12" s="4">
        <v>2</v>
      </c>
      <c r="C12" s="4" t="s">
        <v>56</v>
      </c>
      <c r="D12" s="4">
        <v>1300</v>
      </c>
      <c r="E12" s="4">
        <v>4</v>
      </c>
      <c r="F12" s="4" t="s">
        <v>35</v>
      </c>
      <c r="G12" s="4" t="s">
        <v>38</v>
      </c>
      <c r="H12" s="26">
        <v>20</v>
      </c>
      <c r="I12" s="4">
        <v>65</v>
      </c>
      <c r="J12" s="18">
        <f t="shared" ref="J12:J21" si="15">I12*D12/1000</f>
        <v>84.5</v>
      </c>
      <c r="K12" s="4">
        <v>145</v>
      </c>
      <c r="L12" s="77" t="s">
        <v>55</v>
      </c>
      <c r="M12" s="4">
        <f>11+11+11+12</f>
        <v>45</v>
      </c>
      <c r="V12" s="46">
        <f t="shared" ref="V12:V35" si="16">20/(D12/1000)</f>
        <v>15.384615384615383</v>
      </c>
      <c r="W12" s="46">
        <f>180+23</f>
        <v>203</v>
      </c>
      <c r="X12" s="47">
        <v>1062</v>
      </c>
      <c r="Y12" s="48">
        <f t="shared" ref="Y12:Y24" si="17">X12/D12</f>
        <v>0.81692307692307697</v>
      </c>
      <c r="Z12" s="49">
        <v>15.454000000000001</v>
      </c>
      <c r="AA12" s="49">
        <f t="shared" ref="AA12:AA24" si="18">K12/Z12</f>
        <v>9.3826840947327543</v>
      </c>
      <c r="AB12" s="47">
        <v>13.99</v>
      </c>
      <c r="AC12" s="51">
        <v>14.76</v>
      </c>
      <c r="AD12" s="47">
        <f t="shared" ref="AD12:AD17" si="19">AC12-AB12</f>
        <v>0.76999999999999957</v>
      </c>
      <c r="AE12" s="58">
        <v>128</v>
      </c>
      <c r="AF12" s="22"/>
      <c r="AG12" s="22"/>
      <c r="AH12" s="22"/>
      <c r="AI12" s="22"/>
      <c r="AJ12" s="22"/>
      <c r="AK12" s="22"/>
      <c r="AL12" s="22"/>
      <c r="AM12" s="22"/>
      <c r="AN12" s="22"/>
      <c r="AO12" s="29">
        <f t="shared" si="13"/>
        <v>46.153846153846153</v>
      </c>
      <c r="AP12" s="30">
        <v>58</v>
      </c>
      <c r="AQ12" s="30">
        <v>14</v>
      </c>
      <c r="AR12" s="92">
        <v>4</v>
      </c>
      <c r="AS12" s="87">
        <v>46</v>
      </c>
      <c r="AT12" s="37">
        <v>651</v>
      </c>
      <c r="AU12" s="44">
        <f t="shared" si="5"/>
        <v>0.50076923076923074</v>
      </c>
      <c r="AV12" s="45">
        <v>9.1950000000000003</v>
      </c>
      <c r="AW12" s="32">
        <f t="shared" si="14"/>
        <v>15.769439912996193</v>
      </c>
      <c r="AX12" s="37">
        <v>13.99</v>
      </c>
      <c r="AY12" s="42">
        <v>15.12</v>
      </c>
      <c r="AZ12" s="37">
        <f t="shared" ref="AZ12:AZ35" si="20">AY12-AX12</f>
        <v>1.129999999999999</v>
      </c>
      <c r="BA12" s="30">
        <v>117</v>
      </c>
    </row>
    <row r="13" spans="1:53">
      <c r="A13" s="61" t="str">
        <f t="shared" si="8"/>
        <v>Optipower 1300 LiPo ($29)</v>
      </c>
      <c r="B13" s="4">
        <v>2</v>
      </c>
      <c r="C13" s="4" t="s">
        <v>57</v>
      </c>
      <c r="D13" s="4">
        <v>1300</v>
      </c>
      <c r="E13" s="4">
        <v>4</v>
      </c>
      <c r="F13" s="4" t="s">
        <v>35</v>
      </c>
      <c r="G13" s="4" t="s">
        <v>38</v>
      </c>
      <c r="H13" s="26">
        <v>29</v>
      </c>
      <c r="I13" s="4">
        <v>50</v>
      </c>
      <c r="J13" s="18">
        <f t="shared" si="15"/>
        <v>65</v>
      </c>
      <c r="K13" s="4">
        <v>149</v>
      </c>
      <c r="L13" s="77" t="s">
        <v>55</v>
      </c>
      <c r="M13" s="4">
        <f>8+8+11+12</f>
        <v>39</v>
      </c>
      <c r="V13" s="46">
        <f t="shared" si="16"/>
        <v>15.384615384615383</v>
      </c>
      <c r="W13" s="46">
        <f>180+42</f>
        <v>222</v>
      </c>
      <c r="X13" s="47">
        <v>1170</v>
      </c>
      <c r="Y13" s="59">
        <f t="shared" si="17"/>
        <v>0.9</v>
      </c>
      <c r="Z13" s="49">
        <v>17.102</v>
      </c>
      <c r="AA13" s="49">
        <f t="shared" si="18"/>
        <v>8.7124312945854285</v>
      </c>
      <c r="AB13" s="47">
        <v>13.99</v>
      </c>
      <c r="AC13" s="51">
        <v>14.76</v>
      </c>
      <c r="AD13" s="47">
        <f t="shared" si="19"/>
        <v>0.76999999999999957</v>
      </c>
      <c r="AE13" s="58">
        <v>135</v>
      </c>
      <c r="AF13" s="22"/>
      <c r="AG13" s="22"/>
      <c r="AH13" s="22"/>
      <c r="AI13" s="22"/>
      <c r="AJ13" s="22"/>
      <c r="AK13" s="22"/>
      <c r="AL13" s="22"/>
      <c r="AM13" s="22"/>
      <c r="AN13" s="22"/>
      <c r="AO13" s="29">
        <f t="shared" si="13"/>
        <v>46.153846153846153</v>
      </c>
      <c r="AP13" s="30">
        <v>58</v>
      </c>
      <c r="AQ13" s="30">
        <v>16</v>
      </c>
      <c r="AR13" s="90">
        <v>5</v>
      </c>
      <c r="AS13" s="29">
        <v>58</v>
      </c>
      <c r="AT13" s="30">
        <v>802</v>
      </c>
      <c r="AU13" s="31">
        <f t="shared" si="5"/>
        <v>0.61692307692307691</v>
      </c>
      <c r="AV13" s="35">
        <v>11.302</v>
      </c>
      <c r="AW13" s="32">
        <f t="shared" si="14"/>
        <v>13.18350734383295</v>
      </c>
      <c r="AX13" s="30">
        <v>13.99</v>
      </c>
      <c r="AY13" s="34">
        <v>15.06</v>
      </c>
      <c r="AZ13" s="30">
        <f t="shared" si="20"/>
        <v>1.0700000000000003</v>
      </c>
      <c r="BA13" s="37">
        <v>126</v>
      </c>
    </row>
    <row r="14" spans="1:53">
      <c r="A14" s="61" t="str">
        <f t="shared" si="8"/>
        <v>Revolectrix 1500 LiHV ($26)</v>
      </c>
      <c r="B14" s="4">
        <v>2</v>
      </c>
      <c r="C14" s="4" t="s">
        <v>58</v>
      </c>
      <c r="D14" s="10">
        <v>1500</v>
      </c>
      <c r="E14" s="4">
        <v>4</v>
      </c>
      <c r="F14" s="4" t="s">
        <v>30</v>
      </c>
      <c r="G14" s="4" t="s">
        <v>38</v>
      </c>
      <c r="H14" s="26">
        <v>26</v>
      </c>
      <c r="I14" s="4">
        <v>70</v>
      </c>
      <c r="J14" s="18">
        <f t="shared" si="15"/>
        <v>105</v>
      </c>
      <c r="K14" s="4">
        <v>149</v>
      </c>
      <c r="L14" s="77" t="s">
        <v>55</v>
      </c>
      <c r="M14" s="4">
        <f>6+5+9+10</f>
        <v>30</v>
      </c>
      <c r="V14" s="46">
        <f t="shared" si="16"/>
        <v>13.333333333333334</v>
      </c>
      <c r="W14" s="46">
        <f>180+53</f>
        <v>233</v>
      </c>
      <c r="X14" s="47">
        <v>1228</v>
      </c>
      <c r="Y14" s="48">
        <f t="shared" si="17"/>
        <v>0.81866666666666665</v>
      </c>
      <c r="Z14" s="49">
        <v>18.251999999999999</v>
      </c>
      <c r="AA14" s="49">
        <f t="shared" si="18"/>
        <v>8.1634889327197033</v>
      </c>
      <c r="AB14" s="47">
        <v>13.99</v>
      </c>
      <c r="AC14" s="51">
        <v>14.7</v>
      </c>
      <c r="AD14" s="47">
        <f t="shared" si="19"/>
        <v>0.70999999999999908</v>
      </c>
      <c r="AE14" s="58">
        <v>128</v>
      </c>
      <c r="AF14" s="22"/>
      <c r="AG14" s="22"/>
      <c r="AH14" s="22"/>
      <c r="AI14" s="22"/>
      <c r="AJ14" s="22"/>
      <c r="AK14" s="22"/>
      <c r="AL14" s="22"/>
      <c r="AM14" s="22"/>
      <c r="AN14" s="22"/>
      <c r="AO14" s="29">
        <f t="shared" si="13"/>
        <v>40</v>
      </c>
      <c r="AP14" s="30">
        <v>58</v>
      </c>
      <c r="AQ14" s="38">
        <v>8</v>
      </c>
      <c r="AR14" s="91">
        <v>24</v>
      </c>
      <c r="AS14" s="88">
        <v>66</v>
      </c>
      <c r="AT14" s="30">
        <v>960</v>
      </c>
      <c r="AU14" s="31">
        <f t="shared" si="5"/>
        <v>0.64</v>
      </c>
      <c r="AV14" s="32">
        <v>13.754</v>
      </c>
      <c r="AW14" s="32">
        <f t="shared" si="14"/>
        <v>10.833212156463574</v>
      </c>
      <c r="AX14" s="30">
        <v>13.99</v>
      </c>
      <c r="AY14" s="34">
        <v>15.06</v>
      </c>
      <c r="AZ14" s="30">
        <f t="shared" si="20"/>
        <v>1.0700000000000003</v>
      </c>
      <c r="BA14" s="37">
        <v>142</v>
      </c>
    </row>
    <row r="15" spans="1:53">
      <c r="A15" s="61" t="str">
        <f t="shared" si="8"/>
        <v>Tattu 1300 LiPo ($30)</v>
      </c>
      <c r="B15" s="4">
        <v>2</v>
      </c>
      <c r="C15" s="4" t="s">
        <v>59</v>
      </c>
      <c r="D15" s="4">
        <v>1300</v>
      </c>
      <c r="E15" s="4">
        <v>4</v>
      </c>
      <c r="F15" s="4" t="s">
        <v>35</v>
      </c>
      <c r="G15" s="4" t="s">
        <v>38</v>
      </c>
      <c r="H15" s="26">
        <v>30</v>
      </c>
      <c r="I15" s="4">
        <v>75</v>
      </c>
      <c r="J15" s="18">
        <f t="shared" si="15"/>
        <v>97.5</v>
      </c>
      <c r="K15" s="4">
        <v>156</v>
      </c>
      <c r="L15" s="77" t="s">
        <v>55</v>
      </c>
      <c r="M15" s="4">
        <f>8+8+11+12</f>
        <v>39</v>
      </c>
      <c r="V15" s="46">
        <f t="shared" si="16"/>
        <v>15.384615384615383</v>
      </c>
      <c r="W15" s="46">
        <f>180+44</f>
        <v>224</v>
      </c>
      <c r="X15" s="47">
        <v>1164</v>
      </c>
      <c r="Y15" s="59">
        <f t="shared" si="17"/>
        <v>0.89538461538461533</v>
      </c>
      <c r="Z15" s="49">
        <v>17.03</v>
      </c>
      <c r="AA15" s="49">
        <f t="shared" si="18"/>
        <v>9.1603053435114496</v>
      </c>
      <c r="AB15" s="47">
        <v>13.99</v>
      </c>
      <c r="AC15" s="51">
        <v>14.76</v>
      </c>
      <c r="AD15" s="47">
        <f t="shared" si="19"/>
        <v>0.76999999999999957</v>
      </c>
      <c r="AE15" s="58">
        <v>134</v>
      </c>
      <c r="AF15" s="22"/>
      <c r="AG15" s="22"/>
      <c r="AH15" s="22"/>
      <c r="AI15" s="22"/>
      <c r="AJ15" s="22"/>
      <c r="AK15" s="22"/>
      <c r="AL15" s="22"/>
      <c r="AM15" s="22"/>
      <c r="AN15" s="22"/>
      <c r="AO15" s="29">
        <f t="shared" si="13"/>
        <v>46.153846153846153</v>
      </c>
      <c r="AP15" s="30">
        <v>58</v>
      </c>
      <c r="AQ15" s="30">
        <v>15</v>
      </c>
      <c r="AR15" s="90">
        <v>5</v>
      </c>
      <c r="AS15" s="29">
        <v>58</v>
      </c>
      <c r="AT15" s="30">
        <v>802</v>
      </c>
      <c r="AU15" s="31">
        <f t="shared" si="5"/>
        <v>0.61692307692307691</v>
      </c>
      <c r="AV15" s="35">
        <v>11.329000000000001</v>
      </c>
      <c r="AW15" s="32">
        <f t="shared" si="14"/>
        <v>13.769970871215463</v>
      </c>
      <c r="AX15" s="30">
        <v>13.99</v>
      </c>
      <c r="AY15" s="34">
        <v>15.06</v>
      </c>
      <c r="AZ15" s="30">
        <f t="shared" si="20"/>
        <v>1.0700000000000003</v>
      </c>
      <c r="BA15" s="37">
        <v>126</v>
      </c>
    </row>
    <row r="16" spans="1:53">
      <c r="A16" s="61" t="str">
        <f t="shared" si="8"/>
        <v>Bonka 1600 LiPo ($30)</v>
      </c>
      <c r="B16" s="4">
        <v>2</v>
      </c>
      <c r="C16" s="4" t="s">
        <v>51</v>
      </c>
      <c r="D16" s="10">
        <v>1600</v>
      </c>
      <c r="E16" s="4">
        <v>4</v>
      </c>
      <c r="F16" s="4" t="s">
        <v>35</v>
      </c>
      <c r="G16" s="4" t="s">
        <v>38</v>
      </c>
      <c r="H16" s="26">
        <v>30</v>
      </c>
      <c r="I16" s="4">
        <v>45</v>
      </c>
      <c r="J16" s="18">
        <f t="shared" si="15"/>
        <v>72</v>
      </c>
      <c r="K16" s="4">
        <v>161</v>
      </c>
      <c r="L16" s="77" t="s">
        <v>55</v>
      </c>
      <c r="M16" s="4">
        <f>7+6+8+8</f>
        <v>29</v>
      </c>
      <c r="V16" s="46">
        <f t="shared" si="16"/>
        <v>12.5</v>
      </c>
      <c r="W16" s="46">
        <f>240+4</f>
        <v>244</v>
      </c>
      <c r="X16" s="47">
        <v>1291</v>
      </c>
      <c r="Y16" s="48">
        <f t="shared" si="17"/>
        <v>0.80687500000000001</v>
      </c>
      <c r="Z16" s="49">
        <v>18.922999999999998</v>
      </c>
      <c r="AA16" s="49">
        <f t="shared" si="18"/>
        <v>8.5081646673360467</v>
      </c>
      <c r="AB16" s="47">
        <v>13.99</v>
      </c>
      <c r="AC16" s="51">
        <v>14.76</v>
      </c>
      <c r="AD16" s="47">
        <f t="shared" si="19"/>
        <v>0.76999999999999957</v>
      </c>
      <c r="AE16" s="58">
        <v>130</v>
      </c>
      <c r="AF16" s="22"/>
      <c r="AG16" s="22"/>
      <c r="AH16" s="22"/>
      <c r="AI16" s="22"/>
      <c r="AJ16" s="22"/>
      <c r="AK16" s="22"/>
      <c r="AL16" s="22"/>
      <c r="AM16" s="22"/>
      <c r="AN16" s="22"/>
      <c r="AO16" s="29">
        <f t="shared" si="13"/>
        <v>37.5</v>
      </c>
      <c r="AP16" s="30">
        <v>58</v>
      </c>
      <c r="AQ16" s="30">
        <v>20</v>
      </c>
      <c r="AR16" s="90">
        <v>6</v>
      </c>
      <c r="AS16" s="88">
        <v>64</v>
      </c>
      <c r="AT16" s="30">
        <v>960</v>
      </c>
      <c r="AU16" s="31">
        <f t="shared" si="5"/>
        <v>0.6</v>
      </c>
      <c r="AV16" s="35">
        <v>13.565</v>
      </c>
      <c r="AW16" s="32">
        <f t="shared" si="14"/>
        <v>11.868779948396609</v>
      </c>
      <c r="AX16" s="30">
        <v>13.99</v>
      </c>
      <c r="AY16" s="34">
        <v>15.06</v>
      </c>
      <c r="AZ16" s="30">
        <f t="shared" si="20"/>
        <v>1.0700000000000003</v>
      </c>
      <c r="BA16" s="37">
        <v>127</v>
      </c>
    </row>
    <row r="17" spans="1:53">
      <c r="A17" s="61" t="str">
        <f t="shared" si="8"/>
        <v>Lumenier 1300 LiGr ($35)</v>
      </c>
      <c r="B17" s="4">
        <v>2</v>
      </c>
      <c r="C17" s="4" t="s">
        <v>60</v>
      </c>
      <c r="D17" s="4">
        <v>1300</v>
      </c>
      <c r="E17" s="4">
        <v>4</v>
      </c>
      <c r="F17" s="4" t="s">
        <v>61</v>
      </c>
      <c r="G17" s="4" t="s">
        <v>38</v>
      </c>
      <c r="H17" s="26">
        <v>35</v>
      </c>
      <c r="I17" s="4">
        <v>80</v>
      </c>
      <c r="J17" s="18">
        <f t="shared" si="15"/>
        <v>104</v>
      </c>
      <c r="K17" s="4">
        <v>164</v>
      </c>
      <c r="L17" s="77" t="s">
        <v>55</v>
      </c>
      <c r="M17" s="4">
        <f>4+4+5+6</f>
        <v>19</v>
      </c>
      <c r="V17" s="46">
        <f t="shared" si="16"/>
        <v>15.384615384615383</v>
      </c>
      <c r="W17" s="46">
        <f>180+28</f>
        <v>208</v>
      </c>
      <c r="X17" s="47">
        <v>1141</v>
      </c>
      <c r="Y17" s="48">
        <f t="shared" si="17"/>
        <v>0.87769230769230766</v>
      </c>
      <c r="Z17" s="49">
        <v>16.879000000000001</v>
      </c>
      <c r="AA17" s="49">
        <f t="shared" si="18"/>
        <v>9.7162154156051894</v>
      </c>
      <c r="AB17" s="47">
        <v>13.99</v>
      </c>
      <c r="AC17" s="51">
        <v>14.64</v>
      </c>
      <c r="AD17" s="47">
        <f t="shared" si="19"/>
        <v>0.65000000000000036</v>
      </c>
      <c r="AE17" s="47">
        <v>113</v>
      </c>
      <c r="AF17" s="22"/>
      <c r="AG17" s="22"/>
      <c r="AH17" s="22"/>
      <c r="AI17" s="22"/>
      <c r="AJ17" s="22"/>
      <c r="AK17" s="22"/>
      <c r="AL17" s="22"/>
      <c r="AM17" s="22"/>
      <c r="AN17" s="22"/>
      <c r="AO17" s="29">
        <f t="shared" si="13"/>
        <v>46.153846153846153</v>
      </c>
      <c r="AP17" s="30">
        <v>58</v>
      </c>
      <c r="AQ17" s="38">
        <v>7</v>
      </c>
      <c r="AR17" s="91">
        <v>17</v>
      </c>
      <c r="AS17" s="29">
        <v>56</v>
      </c>
      <c r="AT17" s="30">
        <v>826</v>
      </c>
      <c r="AU17" s="43">
        <f t="shared" si="5"/>
        <v>0.63538461538461544</v>
      </c>
      <c r="AV17" s="32">
        <v>11.785</v>
      </c>
      <c r="AW17" s="32">
        <f t="shared" si="14"/>
        <v>13.91599490878235</v>
      </c>
      <c r="AX17" s="30">
        <v>13.99</v>
      </c>
      <c r="AY17" s="34">
        <v>15.06</v>
      </c>
      <c r="AZ17" s="30">
        <f t="shared" si="20"/>
        <v>1.0700000000000003</v>
      </c>
      <c r="BA17" s="30">
        <v>115</v>
      </c>
    </row>
    <row r="18" spans="1:53">
      <c r="A18" s="61" t="str">
        <f t="shared" si="8"/>
        <v>Bonka 1300 LiGr ($40)</v>
      </c>
      <c r="B18" s="4">
        <v>2</v>
      </c>
      <c r="C18" s="4" t="s">
        <v>51</v>
      </c>
      <c r="D18" s="4">
        <v>1300</v>
      </c>
      <c r="E18" s="4">
        <v>4</v>
      </c>
      <c r="F18" s="4" t="s">
        <v>61</v>
      </c>
      <c r="G18" s="4" t="s">
        <v>38</v>
      </c>
      <c r="H18" s="26">
        <v>40</v>
      </c>
      <c r="I18" s="4">
        <v>80</v>
      </c>
      <c r="J18" s="18">
        <f t="shared" si="15"/>
        <v>104</v>
      </c>
      <c r="K18" s="4">
        <v>167</v>
      </c>
      <c r="L18" s="77" t="s">
        <v>55</v>
      </c>
      <c r="M18" s="4">
        <f>5+5+6+7</f>
        <v>23</v>
      </c>
      <c r="V18" s="46">
        <f t="shared" si="16"/>
        <v>15.384615384615383</v>
      </c>
      <c r="W18" s="46">
        <f>180+27</f>
        <v>207</v>
      </c>
      <c r="X18" s="47">
        <v>1090</v>
      </c>
      <c r="Y18" s="48">
        <f t="shared" si="17"/>
        <v>0.83846153846153848</v>
      </c>
      <c r="Z18" s="49">
        <v>16.050999999999998</v>
      </c>
      <c r="AA18" s="49">
        <f t="shared" si="18"/>
        <v>10.404336178431251</v>
      </c>
      <c r="AB18" s="47">
        <v>13.99</v>
      </c>
      <c r="AC18" s="51">
        <v>14.76</v>
      </c>
      <c r="AD18" s="47">
        <f t="shared" ref="AD18:AD33" si="21">AC18-AB18</f>
        <v>0.76999999999999957</v>
      </c>
      <c r="AE18" s="47">
        <v>115</v>
      </c>
      <c r="AF18" s="22"/>
      <c r="AG18" s="22"/>
      <c r="AH18" s="22"/>
      <c r="AI18" s="22"/>
      <c r="AJ18" s="22"/>
      <c r="AK18" s="22"/>
      <c r="AL18" s="22"/>
      <c r="AM18" s="22"/>
      <c r="AN18" s="22"/>
      <c r="AO18" s="29">
        <f t="shared" si="13"/>
        <v>46.153846153846153</v>
      </c>
      <c r="AP18" s="30">
        <v>58</v>
      </c>
      <c r="AQ18" s="30">
        <v>8</v>
      </c>
      <c r="AR18" s="90">
        <v>10</v>
      </c>
      <c r="AS18" s="29">
        <v>50</v>
      </c>
      <c r="AT18" s="30">
        <v>819</v>
      </c>
      <c r="AU18" s="31">
        <f t="shared" si="5"/>
        <v>0.63</v>
      </c>
      <c r="AV18" s="32">
        <v>11.641999999999999</v>
      </c>
      <c r="AW18" s="32">
        <f t="shared" si="14"/>
        <v>14.344614327435149</v>
      </c>
      <c r="AX18" s="30">
        <v>13.99</v>
      </c>
      <c r="AY18" s="34">
        <v>15.06</v>
      </c>
      <c r="AZ18" s="30">
        <f t="shared" si="20"/>
        <v>1.0700000000000003</v>
      </c>
      <c r="BA18" s="30">
        <v>115</v>
      </c>
    </row>
    <row r="19" spans="1:53">
      <c r="A19" s="61" t="str">
        <f t="shared" si="8"/>
        <v>Tattu Race 1300 LiPo ($34)</v>
      </c>
      <c r="B19" s="4">
        <v>2</v>
      </c>
      <c r="C19" s="4" t="s">
        <v>62</v>
      </c>
      <c r="D19" s="4">
        <v>1300</v>
      </c>
      <c r="E19" s="4">
        <v>4</v>
      </c>
      <c r="F19" s="4" t="s">
        <v>35</v>
      </c>
      <c r="G19" s="4" t="s">
        <v>38</v>
      </c>
      <c r="H19" s="26">
        <v>34</v>
      </c>
      <c r="I19" s="4">
        <v>75</v>
      </c>
      <c r="J19" s="18">
        <f t="shared" si="15"/>
        <v>97.5</v>
      </c>
      <c r="K19" s="4">
        <v>167</v>
      </c>
      <c r="L19" s="77" t="s">
        <v>55</v>
      </c>
      <c r="M19" s="4">
        <f>5+6+8+9</f>
        <v>28</v>
      </c>
      <c r="V19" s="46">
        <f t="shared" si="16"/>
        <v>15.384615384615383</v>
      </c>
      <c r="W19" s="46">
        <f>180+28</f>
        <v>208</v>
      </c>
      <c r="X19" s="47">
        <v>1102</v>
      </c>
      <c r="Y19" s="48">
        <f t="shared" si="17"/>
        <v>0.84769230769230774</v>
      </c>
      <c r="Z19" s="49">
        <v>16.206</v>
      </c>
      <c r="AA19" s="49">
        <f t="shared" si="18"/>
        <v>10.304825373318524</v>
      </c>
      <c r="AB19" s="47">
        <v>13.99</v>
      </c>
      <c r="AC19" s="51">
        <v>14.7</v>
      </c>
      <c r="AD19" s="47">
        <f t="shared" si="21"/>
        <v>0.70999999999999908</v>
      </c>
      <c r="AE19" s="47">
        <v>125</v>
      </c>
      <c r="AF19" s="22"/>
      <c r="AG19" s="22"/>
      <c r="AH19" s="22"/>
      <c r="AI19" s="22"/>
      <c r="AJ19" s="22"/>
      <c r="AK19" s="22"/>
      <c r="AL19" s="22"/>
      <c r="AM19" s="22"/>
      <c r="AN19" s="22"/>
      <c r="AO19" s="29">
        <f t="shared" si="13"/>
        <v>46.153846153846153</v>
      </c>
      <c r="AP19" s="30">
        <v>58</v>
      </c>
      <c r="AQ19" s="30">
        <v>12</v>
      </c>
      <c r="AR19" s="90">
        <v>6</v>
      </c>
      <c r="AS19" s="29">
        <v>51</v>
      </c>
      <c r="AT19" s="30">
        <v>767</v>
      </c>
      <c r="AU19" s="31">
        <f t="shared" si="5"/>
        <v>0.59</v>
      </c>
      <c r="AV19" s="35">
        <v>10.085000000000001</v>
      </c>
      <c r="AW19" s="32">
        <f t="shared" si="14"/>
        <v>16.559246405552798</v>
      </c>
      <c r="AX19" s="30">
        <v>13.99</v>
      </c>
      <c r="AY19" s="34">
        <v>15.06</v>
      </c>
      <c r="AZ19" s="30">
        <f t="shared" si="20"/>
        <v>1.0700000000000003</v>
      </c>
      <c r="BA19" s="30">
        <v>119</v>
      </c>
    </row>
    <row r="20" spans="1:53">
      <c r="A20" s="61" t="str">
        <f t="shared" si="8"/>
        <v>Bonka 1500 LiPo ($32)</v>
      </c>
      <c r="B20" s="4">
        <v>2</v>
      </c>
      <c r="C20" s="4" t="s">
        <v>51</v>
      </c>
      <c r="D20" s="4">
        <v>1500</v>
      </c>
      <c r="E20" s="4">
        <v>4</v>
      </c>
      <c r="F20" s="4" t="s">
        <v>35</v>
      </c>
      <c r="G20" s="4" t="s">
        <v>38</v>
      </c>
      <c r="H20" s="26">
        <v>32</v>
      </c>
      <c r="I20" s="4">
        <v>75</v>
      </c>
      <c r="J20" s="18">
        <f t="shared" si="15"/>
        <v>112.5</v>
      </c>
      <c r="K20" s="4">
        <v>172</v>
      </c>
      <c r="L20" s="77" t="s">
        <v>55</v>
      </c>
      <c r="M20" s="4">
        <f>6+6+9+10</f>
        <v>31</v>
      </c>
      <c r="V20" s="46">
        <f t="shared" si="16"/>
        <v>13.333333333333334</v>
      </c>
      <c r="W20" s="46">
        <f>240+16</f>
        <v>256</v>
      </c>
      <c r="X20" s="52">
        <v>1351</v>
      </c>
      <c r="Y20" s="59">
        <f t="shared" si="17"/>
        <v>0.90066666666666662</v>
      </c>
      <c r="Z20" s="49">
        <v>19.905000000000001</v>
      </c>
      <c r="AA20" s="49">
        <f t="shared" si="18"/>
        <v>8.6410449635769897</v>
      </c>
      <c r="AB20" s="47">
        <v>13.99</v>
      </c>
      <c r="AC20" s="51">
        <v>14.7</v>
      </c>
      <c r="AD20" s="47">
        <f t="shared" si="21"/>
        <v>0.70999999999999908</v>
      </c>
      <c r="AE20" s="58">
        <v>126</v>
      </c>
      <c r="AF20" s="22"/>
      <c r="AG20" s="22"/>
      <c r="AH20" s="22"/>
      <c r="AI20" s="22"/>
      <c r="AJ20" s="22"/>
      <c r="AK20" s="22"/>
      <c r="AL20" s="22"/>
      <c r="AM20" s="22"/>
      <c r="AN20" s="22"/>
      <c r="AO20" s="29">
        <f t="shared" si="13"/>
        <v>40</v>
      </c>
      <c r="AP20" s="30">
        <v>58</v>
      </c>
      <c r="AQ20" s="30">
        <v>12</v>
      </c>
      <c r="AR20" s="90">
        <v>7</v>
      </c>
      <c r="AS20" s="29">
        <v>58</v>
      </c>
      <c r="AT20" s="30">
        <v>912</v>
      </c>
      <c r="AU20" s="31">
        <f t="shared" si="5"/>
        <v>0.60799999999999998</v>
      </c>
      <c r="AV20" s="35">
        <v>13.2</v>
      </c>
      <c r="AW20" s="32">
        <f t="shared" si="14"/>
        <v>13.030303030303031</v>
      </c>
      <c r="AX20" s="30">
        <v>13.99</v>
      </c>
      <c r="AY20" s="34">
        <v>15.06</v>
      </c>
      <c r="AZ20" s="30">
        <f t="shared" si="20"/>
        <v>1.0700000000000003</v>
      </c>
      <c r="BA20" s="30">
        <v>123</v>
      </c>
    </row>
    <row r="21" spans="1:53">
      <c r="A21" s="61" t="str">
        <f t="shared" si="8"/>
        <v>Turnigy 1300 LiGr ($26)</v>
      </c>
      <c r="B21" s="4">
        <v>2</v>
      </c>
      <c r="C21" s="4" t="s">
        <v>63</v>
      </c>
      <c r="D21" s="4">
        <v>1300</v>
      </c>
      <c r="E21" s="4">
        <v>4</v>
      </c>
      <c r="F21" s="4" t="s">
        <v>61</v>
      </c>
      <c r="G21" s="4" t="s">
        <v>38</v>
      </c>
      <c r="H21" s="26">
        <v>26</v>
      </c>
      <c r="I21" s="4">
        <v>65</v>
      </c>
      <c r="J21" s="18">
        <f t="shared" si="15"/>
        <v>84.5</v>
      </c>
      <c r="K21" s="4">
        <v>177</v>
      </c>
      <c r="L21" s="77" t="s">
        <v>55</v>
      </c>
      <c r="M21" s="4">
        <f>5+5+5+5</f>
        <v>20</v>
      </c>
      <c r="V21" s="46">
        <f t="shared" si="16"/>
        <v>15.384615384615383</v>
      </c>
      <c r="W21" s="46">
        <f>180+24</f>
        <v>204</v>
      </c>
      <c r="X21" s="47">
        <v>1080</v>
      </c>
      <c r="Y21" s="48">
        <f t="shared" si="17"/>
        <v>0.83076923076923082</v>
      </c>
      <c r="Z21" s="49">
        <v>15.837</v>
      </c>
      <c r="AA21" s="49">
        <f t="shared" si="18"/>
        <v>11.176359158931616</v>
      </c>
      <c r="AB21" s="47">
        <v>13.99</v>
      </c>
      <c r="AC21" s="51">
        <v>14.7</v>
      </c>
      <c r="AD21" s="47">
        <f t="shared" si="21"/>
        <v>0.70999999999999908</v>
      </c>
      <c r="AE21" s="47">
        <v>110</v>
      </c>
      <c r="AF21" s="22"/>
      <c r="AG21" s="22"/>
      <c r="AH21" s="22"/>
      <c r="AI21" s="22"/>
      <c r="AJ21" s="22"/>
      <c r="AK21" s="22"/>
      <c r="AL21" s="22"/>
      <c r="AM21" s="22"/>
      <c r="AN21" s="22"/>
      <c r="AO21" s="29">
        <f t="shared" si="13"/>
        <v>46.153846153846153</v>
      </c>
      <c r="AP21" s="30">
        <v>58</v>
      </c>
      <c r="AQ21" s="30">
        <v>12</v>
      </c>
      <c r="AR21" s="90">
        <v>9</v>
      </c>
      <c r="AS21" s="29">
        <v>52</v>
      </c>
      <c r="AT21" s="30">
        <v>784</v>
      </c>
      <c r="AU21" s="31">
        <f t="shared" si="5"/>
        <v>0.60307692307692307</v>
      </c>
      <c r="AV21" s="35">
        <v>11.12</v>
      </c>
      <c r="AW21" s="32">
        <f t="shared" si="14"/>
        <v>15.917266187050361</v>
      </c>
      <c r="AX21" s="30">
        <v>13.99</v>
      </c>
      <c r="AY21" s="34">
        <v>15.06</v>
      </c>
      <c r="AZ21" s="30">
        <f t="shared" si="20"/>
        <v>1.0700000000000003</v>
      </c>
      <c r="BA21" s="30">
        <v>110</v>
      </c>
    </row>
    <row r="22" spans="1:53">
      <c r="A22" s="61" t="str">
        <f t="shared" si="8"/>
        <v>Lumenier 1800 LiHV ($43)</v>
      </c>
      <c r="B22" s="4">
        <v>3</v>
      </c>
      <c r="C22" s="4" t="s">
        <v>60</v>
      </c>
      <c r="D22" s="4">
        <v>1800</v>
      </c>
      <c r="E22" s="4">
        <v>4</v>
      </c>
      <c r="F22" s="4" t="s">
        <v>30</v>
      </c>
      <c r="G22" s="4" t="s">
        <v>38</v>
      </c>
      <c r="H22" s="17">
        <v>43</v>
      </c>
      <c r="I22" s="4">
        <v>80</v>
      </c>
      <c r="J22" s="18">
        <f t="shared" ref="J22:J31" si="22">I22*D22/1000</f>
        <v>144</v>
      </c>
      <c r="K22" s="4">
        <v>203</v>
      </c>
      <c r="L22" s="11"/>
      <c r="M22" s="10">
        <f>5+5+5+5</f>
        <v>20</v>
      </c>
      <c r="N22" s="18"/>
      <c r="O22" s="3"/>
      <c r="Q22" s="1"/>
      <c r="R22" s="2"/>
      <c r="S22" s="6"/>
      <c r="T22" s="2"/>
      <c r="V22" s="46">
        <f t="shared" si="16"/>
        <v>11.111111111111111</v>
      </c>
      <c r="W22" s="46">
        <f>300+32</f>
        <v>332</v>
      </c>
      <c r="X22" s="60">
        <v>1606</v>
      </c>
      <c r="Y22" s="48">
        <f t="shared" si="17"/>
        <v>0.89222222222222225</v>
      </c>
      <c r="Z22" s="76">
        <v>24.193999999999999</v>
      </c>
      <c r="AA22" s="49">
        <f t="shared" si="18"/>
        <v>8.3905100438125153</v>
      </c>
      <c r="AB22" s="50">
        <v>13.99</v>
      </c>
      <c r="AC22" s="78">
        <v>14.64</v>
      </c>
      <c r="AD22" s="47">
        <f t="shared" si="21"/>
        <v>0.65000000000000036</v>
      </c>
      <c r="AE22" s="60">
        <v>115</v>
      </c>
      <c r="AF22" s="18"/>
      <c r="AG22" s="3"/>
      <c r="AJ22" s="1"/>
      <c r="AK22" s="2"/>
      <c r="AL22" s="6"/>
      <c r="AM22" s="6"/>
      <c r="AO22" s="29">
        <f t="shared" si="13"/>
        <v>33.333333333333336</v>
      </c>
      <c r="AP22" s="29">
        <v>60</v>
      </c>
      <c r="AQ22" s="29">
        <v>1</v>
      </c>
      <c r="AR22" s="90">
        <v>86</v>
      </c>
      <c r="AS22" s="90">
        <v>86</v>
      </c>
      <c r="AT22" s="30">
        <v>1289</v>
      </c>
      <c r="AU22" s="31">
        <f t="shared" si="5"/>
        <v>0.71611111111111114</v>
      </c>
      <c r="AV22" s="32">
        <v>18.643000000000001</v>
      </c>
      <c r="AW22" s="32">
        <f t="shared" si="14"/>
        <v>10.888805449766668</v>
      </c>
      <c r="AX22" s="33">
        <v>13.99</v>
      </c>
      <c r="AY22" s="34">
        <v>15.06</v>
      </c>
      <c r="AZ22" s="30">
        <f t="shared" si="20"/>
        <v>1.0700000000000003</v>
      </c>
      <c r="BA22" s="30">
        <v>123</v>
      </c>
    </row>
    <row r="23" spans="1:53">
      <c r="A23" s="61" t="str">
        <f t="shared" si="8"/>
        <v>Lumenier 1300 LiHV ($35)</v>
      </c>
      <c r="B23" s="4">
        <v>3</v>
      </c>
      <c r="C23" s="4" t="s">
        <v>60</v>
      </c>
      <c r="D23" s="4">
        <v>1300</v>
      </c>
      <c r="E23" s="4">
        <v>4</v>
      </c>
      <c r="F23" s="4" t="s">
        <v>30</v>
      </c>
      <c r="G23" s="4" t="s">
        <v>38</v>
      </c>
      <c r="H23" s="17">
        <v>35</v>
      </c>
      <c r="I23" s="4">
        <v>80</v>
      </c>
      <c r="J23" s="18">
        <f t="shared" si="22"/>
        <v>104</v>
      </c>
      <c r="K23" s="4">
        <v>158</v>
      </c>
      <c r="L23" s="11"/>
      <c r="M23" s="10">
        <f>6+6+5+6</f>
        <v>23</v>
      </c>
      <c r="N23" s="18"/>
      <c r="O23" s="3"/>
      <c r="Q23" s="5"/>
      <c r="R23" s="2"/>
      <c r="S23" s="6"/>
      <c r="T23" s="2"/>
      <c r="V23" s="46">
        <f t="shared" si="16"/>
        <v>15.384615384615383</v>
      </c>
      <c r="W23" s="46">
        <f>180+46</f>
        <v>226</v>
      </c>
      <c r="X23" s="47">
        <v>1206</v>
      </c>
      <c r="Y23" s="48">
        <f t="shared" si="17"/>
        <v>0.9276923076923077</v>
      </c>
      <c r="Z23" s="49">
        <v>18.050999999999998</v>
      </c>
      <c r="AA23" s="49">
        <f t="shared" si="18"/>
        <v>8.752977674367072</v>
      </c>
      <c r="AB23" s="50">
        <v>13.99</v>
      </c>
      <c r="AC23" s="51">
        <v>14.7</v>
      </c>
      <c r="AD23" s="47">
        <f t="shared" si="21"/>
        <v>0.70999999999999908</v>
      </c>
      <c r="AE23" s="52">
        <v>118</v>
      </c>
      <c r="AF23" s="18"/>
      <c r="AG23" s="3"/>
      <c r="AK23" s="2"/>
      <c r="AL23" s="6"/>
      <c r="AM23" s="6"/>
      <c r="AN23" s="27"/>
      <c r="AO23" s="29">
        <f t="shared" si="13"/>
        <v>46.153846153846153</v>
      </c>
      <c r="AP23" s="29">
        <v>60</v>
      </c>
      <c r="AQ23" s="29">
        <v>4</v>
      </c>
      <c r="AR23" s="90">
        <v>51</v>
      </c>
      <c r="AS23" s="90">
        <v>65</v>
      </c>
      <c r="AT23" s="30">
        <v>936</v>
      </c>
      <c r="AU23" s="31">
        <f t="shared" si="5"/>
        <v>0.72</v>
      </c>
      <c r="AV23" s="35">
        <v>13.333</v>
      </c>
      <c r="AW23" s="32">
        <f t="shared" si="14"/>
        <v>11.850296257406436</v>
      </c>
      <c r="AX23" s="33">
        <v>13.99</v>
      </c>
      <c r="AY23" s="34">
        <v>15.06</v>
      </c>
      <c r="AZ23" s="30">
        <f t="shared" si="20"/>
        <v>1.0700000000000003</v>
      </c>
      <c r="BA23" s="36">
        <v>135</v>
      </c>
    </row>
    <row r="24" spans="1:53">
      <c r="A24" s="61" t="str">
        <f t="shared" si="8"/>
        <v>SMC Extreme 1400 LiPo ($35)</v>
      </c>
      <c r="B24" s="4">
        <v>3</v>
      </c>
      <c r="C24" s="4" t="s">
        <v>64</v>
      </c>
      <c r="D24" s="4">
        <v>1400</v>
      </c>
      <c r="E24" s="4">
        <v>4</v>
      </c>
      <c r="F24" s="4" t="s">
        <v>35</v>
      </c>
      <c r="G24" s="4" t="s">
        <v>38</v>
      </c>
      <c r="H24" s="17">
        <v>35</v>
      </c>
      <c r="I24" s="18">
        <f>D24/J24</f>
        <v>31.111111111111111</v>
      </c>
      <c r="J24" s="18">
        <v>45</v>
      </c>
      <c r="K24" s="4">
        <v>165</v>
      </c>
      <c r="L24" s="11"/>
      <c r="M24" s="10">
        <f>4+4+4+4</f>
        <v>16</v>
      </c>
      <c r="N24" s="18"/>
      <c r="O24" s="3"/>
      <c r="Q24" s="5"/>
      <c r="R24" s="2"/>
      <c r="S24" s="6"/>
      <c r="T24" s="2"/>
      <c r="V24" s="46">
        <f t="shared" si="16"/>
        <v>14.285714285714286</v>
      </c>
      <c r="W24" s="46">
        <f>180+41</f>
        <v>221</v>
      </c>
      <c r="X24" s="47">
        <v>1168</v>
      </c>
      <c r="Y24" s="48">
        <f t="shared" si="17"/>
        <v>0.8342857142857143</v>
      </c>
      <c r="Z24" s="49">
        <v>17.347000000000001</v>
      </c>
      <c r="AA24" s="49">
        <f t="shared" si="18"/>
        <v>9.5117311350665812</v>
      </c>
      <c r="AB24" s="50">
        <v>13.99</v>
      </c>
      <c r="AC24" s="51">
        <v>14.58</v>
      </c>
      <c r="AD24" s="47">
        <f t="shared" si="21"/>
        <v>0.58999999999999986</v>
      </c>
      <c r="AE24" s="52">
        <v>113</v>
      </c>
      <c r="AF24" s="18"/>
      <c r="AG24" s="3"/>
      <c r="AK24" s="2"/>
      <c r="AL24" s="6"/>
      <c r="AM24" s="6"/>
      <c r="AN24" s="27"/>
      <c r="AO24" s="29">
        <f t="shared" si="13"/>
        <v>42.857142857142861</v>
      </c>
      <c r="AP24" s="29">
        <v>60</v>
      </c>
      <c r="AQ24" s="29">
        <v>4</v>
      </c>
      <c r="AR24" s="90">
        <v>44</v>
      </c>
      <c r="AS24" s="90">
        <v>60</v>
      </c>
      <c r="AT24" s="30">
        <v>875</v>
      </c>
      <c r="AU24" s="31">
        <f t="shared" si="5"/>
        <v>0.625</v>
      </c>
      <c r="AV24" s="35">
        <v>12.36</v>
      </c>
      <c r="AW24" s="32">
        <f t="shared" si="14"/>
        <v>13.349514563106796</v>
      </c>
      <c r="AX24" s="33">
        <v>13.99</v>
      </c>
      <c r="AY24" s="34">
        <v>15.06</v>
      </c>
      <c r="AZ24" s="30">
        <f t="shared" si="20"/>
        <v>1.0700000000000003</v>
      </c>
      <c r="BA24" s="36">
        <v>122</v>
      </c>
    </row>
    <row r="25" spans="1:53">
      <c r="A25" s="61" t="str">
        <f>_xlfn.CONCAT(C25," ",D25, " ", F25, " ($",H25,")")</f>
        <v>SMC Extreme 1400 LiHV ($35)</v>
      </c>
      <c r="B25" s="4">
        <v>3</v>
      </c>
      <c r="C25" s="4" t="s">
        <v>64</v>
      </c>
      <c r="D25" s="4">
        <v>1400</v>
      </c>
      <c r="E25" s="4">
        <v>4</v>
      </c>
      <c r="F25" s="4" t="s">
        <v>30</v>
      </c>
      <c r="G25" s="4" t="s">
        <v>38</v>
      </c>
      <c r="H25" s="17">
        <v>35</v>
      </c>
      <c r="I25" s="18">
        <f>D25/J25</f>
        <v>31.111111111111111</v>
      </c>
      <c r="J25" s="18">
        <v>45</v>
      </c>
      <c r="K25" s="4">
        <v>165</v>
      </c>
      <c r="L25" s="11"/>
      <c r="M25" s="10">
        <v>16</v>
      </c>
      <c r="N25" s="18"/>
      <c r="O25" s="3"/>
      <c r="Q25" s="5"/>
      <c r="R25" s="2"/>
      <c r="S25" s="6"/>
      <c r="T25" s="2"/>
      <c r="AB25" s="50"/>
      <c r="AE25" s="52"/>
      <c r="AF25" s="18"/>
      <c r="AG25" s="3"/>
      <c r="AK25" s="2"/>
      <c r="AL25" s="6"/>
      <c r="AM25" s="6"/>
      <c r="AN25" s="27"/>
      <c r="AO25" s="29">
        <f t="shared" si="13"/>
        <v>42.857142857142861</v>
      </c>
      <c r="AP25" s="29">
        <v>60</v>
      </c>
      <c r="AQ25" s="29">
        <v>1</v>
      </c>
      <c r="AR25" s="90">
        <v>74</v>
      </c>
      <c r="AS25" s="90">
        <v>74</v>
      </c>
      <c r="AT25" s="30">
        <v>1099</v>
      </c>
      <c r="AU25" s="31">
        <f t="shared" si="5"/>
        <v>0.78500000000000003</v>
      </c>
      <c r="AV25" s="35">
        <v>15.879</v>
      </c>
      <c r="AW25" s="32">
        <f t="shared" si="14"/>
        <v>10.391082561874173</v>
      </c>
      <c r="AX25" s="33">
        <v>13.99</v>
      </c>
      <c r="AY25" s="34">
        <v>15.06</v>
      </c>
      <c r="AZ25" s="30">
        <f t="shared" si="20"/>
        <v>1.0700000000000003</v>
      </c>
      <c r="BA25" s="36">
        <v>135</v>
      </c>
    </row>
    <row r="26" spans="1:53">
      <c r="A26" s="61" t="str">
        <f t="shared" si="8"/>
        <v>Tattu R-Line 1300 LiPo ($38)</v>
      </c>
      <c r="B26" s="4">
        <v>3</v>
      </c>
      <c r="C26" s="4" t="s">
        <v>65</v>
      </c>
      <c r="D26" s="4">
        <v>1300</v>
      </c>
      <c r="E26" s="4">
        <v>4</v>
      </c>
      <c r="F26" s="4" t="s">
        <v>35</v>
      </c>
      <c r="G26" s="4" t="s">
        <v>38</v>
      </c>
      <c r="H26" s="17">
        <v>38</v>
      </c>
      <c r="I26" s="4">
        <v>95</v>
      </c>
      <c r="J26" s="18">
        <f t="shared" si="22"/>
        <v>123.5</v>
      </c>
      <c r="K26" s="4">
        <v>164</v>
      </c>
      <c r="L26" s="11"/>
      <c r="M26" s="10">
        <f>5+4+4+5</f>
        <v>18</v>
      </c>
      <c r="N26" s="18"/>
      <c r="O26" s="3"/>
      <c r="Q26" s="5"/>
      <c r="R26" s="2"/>
      <c r="S26" s="6"/>
      <c r="T26" s="2"/>
      <c r="V26" s="46">
        <f t="shared" si="16"/>
        <v>15.384615384615383</v>
      </c>
      <c r="W26" s="46">
        <f>180+33</f>
        <v>213</v>
      </c>
      <c r="X26" s="47">
        <v>1119</v>
      </c>
      <c r="Y26" s="48">
        <f t="shared" ref="Y26:Y35" si="23">X26/D26</f>
        <v>0.86076923076923073</v>
      </c>
      <c r="Z26" s="49">
        <v>16.568000000000001</v>
      </c>
      <c r="AA26" s="49">
        <f t="shared" ref="AA26:AA35" si="24">K26/Z26</f>
        <v>9.8985997102848859</v>
      </c>
      <c r="AB26" s="50">
        <v>13.99</v>
      </c>
      <c r="AC26" s="51">
        <v>14.64</v>
      </c>
      <c r="AD26" s="47">
        <f t="shared" si="21"/>
        <v>0.65000000000000036</v>
      </c>
      <c r="AE26" s="52">
        <v>115</v>
      </c>
      <c r="AF26" s="18"/>
      <c r="AG26" s="3"/>
      <c r="AK26" s="2"/>
      <c r="AL26" s="6"/>
      <c r="AM26" s="6"/>
      <c r="AN26" s="27"/>
      <c r="AO26" s="29">
        <f t="shared" si="13"/>
        <v>46.153846153846153</v>
      </c>
      <c r="AP26" s="29">
        <v>60</v>
      </c>
      <c r="AQ26" s="29">
        <v>10</v>
      </c>
      <c r="AR26" s="90">
        <v>8</v>
      </c>
      <c r="AS26" s="90">
        <v>56</v>
      </c>
      <c r="AT26" s="30">
        <v>839</v>
      </c>
      <c r="AU26" s="31">
        <f t="shared" si="5"/>
        <v>0.64538461538461533</v>
      </c>
      <c r="AV26" s="35">
        <v>11.907999999999999</v>
      </c>
      <c r="AW26" s="32">
        <f t="shared" si="14"/>
        <v>13.772253946926437</v>
      </c>
      <c r="AX26" s="33">
        <v>13.99</v>
      </c>
      <c r="AY26" s="34">
        <v>15.06</v>
      </c>
      <c r="AZ26" s="30">
        <f t="shared" si="20"/>
        <v>1.0700000000000003</v>
      </c>
      <c r="BA26" s="36">
        <v>120</v>
      </c>
    </row>
    <row r="27" spans="1:53">
      <c r="A27" s="61" t="str">
        <f t="shared" si="8"/>
        <v>Dinogy 1300 LiGr ($31)</v>
      </c>
      <c r="B27" s="4">
        <v>3</v>
      </c>
      <c r="C27" s="4" t="s">
        <v>56</v>
      </c>
      <c r="D27" s="4">
        <v>1300</v>
      </c>
      <c r="E27" s="4">
        <v>4</v>
      </c>
      <c r="F27" s="4" t="s">
        <v>61</v>
      </c>
      <c r="G27" s="4" t="s">
        <v>38</v>
      </c>
      <c r="H27" s="17">
        <v>31</v>
      </c>
      <c r="I27" s="4">
        <v>70</v>
      </c>
      <c r="J27" s="18">
        <f t="shared" si="22"/>
        <v>91</v>
      </c>
      <c r="K27" s="4">
        <v>155</v>
      </c>
      <c r="L27" s="11"/>
      <c r="M27" s="10">
        <f>10+10+9+10</f>
        <v>39</v>
      </c>
      <c r="N27" s="18"/>
      <c r="O27" s="3"/>
      <c r="Q27" s="5"/>
      <c r="R27" s="2"/>
      <c r="S27" s="6"/>
      <c r="T27" s="2"/>
      <c r="V27" s="46">
        <f t="shared" si="16"/>
        <v>15.384615384615383</v>
      </c>
      <c r="W27" s="46">
        <f>180+34</f>
        <v>214</v>
      </c>
      <c r="X27" s="47">
        <v>1117</v>
      </c>
      <c r="Y27" s="48">
        <f t="shared" si="23"/>
        <v>0.85923076923076924</v>
      </c>
      <c r="Z27" s="49">
        <v>16.36</v>
      </c>
      <c r="AA27" s="49">
        <f t="shared" si="24"/>
        <v>9.4743276283618592</v>
      </c>
      <c r="AB27" s="50">
        <v>13.99</v>
      </c>
      <c r="AC27" s="51">
        <v>14.76</v>
      </c>
      <c r="AD27" s="47">
        <f t="shared" si="21"/>
        <v>0.76999999999999957</v>
      </c>
      <c r="AE27" s="52">
        <v>122</v>
      </c>
      <c r="AF27" s="18"/>
      <c r="AG27" s="3"/>
      <c r="AK27" s="2"/>
      <c r="AL27" s="6"/>
      <c r="AM27" s="6"/>
      <c r="AN27" s="27"/>
      <c r="AO27" s="29">
        <f t="shared" si="13"/>
        <v>46.153846153846153</v>
      </c>
      <c r="AP27" s="29">
        <v>60</v>
      </c>
      <c r="AQ27" s="29">
        <v>15</v>
      </c>
      <c r="AR27" s="90">
        <v>6</v>
      </c>
      <c r="AS27" s="90">
        <v>62</v>
      </c>
      <c r="AT27" s="30">
        <v>869</v>
      </c>
      <c r="AU27" s="31">
        <f t="shared" si="5"/>
        <v>0.66846153846153844</v>
      </c>
      <c r="AV27" s="35">
        <v>12.291</v>
      </c>
      <c r="AW27" s="32">
        <f t="shared" si="14"/>
        <v>12.610853470018712</v>
      </c>
      <c r="AX27" s="33">
        <v>13.99</v>
      </c>
      <c r="AY27" s="34">
        <v>15.06</v>
      </c>
      <c r="AZ27" s="30">
        <f t="shared" si="20"/>
        <v>1.0700000000000003</v>
      </c>
      <c r="BA27" s="36">
        <v>126</v>
      </c>
    </row>
    <row r="28" spans="1:53">
      <c r="A28" s="61" t="str">
        <f t="shared" si="8"/>
        <v>Hobby Wireless 1300 LiPo ($20)</v>
      </c>
      <c r="B28" s="4">
        <v>3</v>
      </c>
      <c r="C28" s="4" t="s">
        <v>66</v>
      </c>
      <c r="D28" s="4">
        <v>1300</v>
      </c>
      <c r="E28" s="4">
        <v>4</v>
      </c>
      <c r="F28" s="4" t="s">
        <v>35</v>
      </c>
      <c r="G28" s="4" t="s">
        <v>38</v>
      </c>
      <c r="H28" s="17">
        <v>20</v>
      </c>
      <c r="I28" s="4">
        <v>75</v>
      </c>
      <c r="J28" s="18">
        <f t="shared" si="22"/>
        <v>97.5</v>
      </c>
      <c r="K28" s="4">
        <v>154</v>
      </c>
      <c r="L28" s="11"/>
      <c r="M28" s="10">
        <f>5+5+4+5</f>
        <v>19</v>
      </c>
      <c r="N28" s="18"/>
      <c r="O28" s="3"/>
      <c r="Q28" s="5"/>
      <c r="R28" s="2"/>
      <c r="S28" s="6"/>
      <c r="T28" s="2"/>
      <c r="V28" s="46">
        <f t="shared" si="16"/>
        <v>15.384615384615383</v>
      </c>
      <c r="W28" s="46">
        <f>180+38</f>
        <v>218</v>
      </c>
      <c r="X28" s="47">
        <v>1140</v>
      </c>
      <c r="Y28" s="48">
        <f t="shared" si="23"/>
        <v>0.87692307692307692</v>
      </c>
      <c r="Z28" s="49">
        <v>16.733000000000001</v>
      </c>
      <c r="AA28" s="49">
        <f t="shared" si="24"/>
        <v>9.2033705850714149</v>
      </c>
      <c r="AB28" s="50">
        <v>13.99</v>
      </c>
      <c r="AC28" s="51">
        <v>14.76</v>
      </c>
      <c r="AD28" s="47">
        <f t="shared" si="21"/>
        <v>0.76999999999999957</v>
      </c>
      <c r="AE28" s="52">
        <v>120</v>
      </c>
      <c r="AF28" s="18"/>
      <c r="AG28" s="3"/>
      <c r="AK28" s="2"/>
      <c r="AL28" s="6"/>
      <c r="AM28" s="6"/>
      <c r="AN28" s="27"/>
      <c r="AO28" s="29">
        <f t="shared" si="13"/>
        <v>46.153846153846153</v>
      </c>
      <c r="AP28" s="29">
        <v>60</v>
      </c>
      <c r="AQ28" s="30">
        <v>19</v>
      </c>
      <c r="AR28" s="90">
        <v>6</v>
      </c>
      <c r="AS28" s="29">
        <v>59</v>
      </c>
      <c r="AT28" s="30">
        <v>867</v>
      </c>
      <c r="AU28" s="31">
        <f t="shared" si="5"/>
        <v>0.66692307692307695</v>
      </c>
      <c r="AV28" s="35">
        <v>12.27</v>
      </c>
      <c r="AW28" s="32">
        <f t="shared" si="14"/>
        <v>12.550937245313774</v>
      </c>
      <c r="AX28" s="33">
        <v>13.99</v>
      </c>
      <c r="AY28" s="34">
        <v>15.06</v>
      </c>
      <c r="AZ28" s="30">
        <f t="shared" si="20"/>
        <v>1.0700000000000003</v>
      </c>
      <c r="BA28" s="36">
        <v>125</v>
      </c>
    </row>
    <row r="29" spans="1:53">
      <c r="A29" s="61" t="str">
        <f t="shared" si="8"/>
        <v>Hobby Wireless 1300 LiGr ($27)</v>
      </c>
      <c r="B29" s="4">
        <v>3</v>
      </c>
      <c r="C29" s="4" t="s">
        <v>66</v>
      </c>
      <c r="D29" s="4">
        <v>1300</v>
      </c>
      <c r="E29" s="4">
        <v>4</v>
      </c>
      <c r="F29" s="4" t="s">
        <v>61</v>
      </c>
      <c r="G29" s="4" t="s">
        <v>38</v>
      </c>
      <c r="H29" s="17">
        <v>27</v>
      </c>
      <c r="I29" s="4">
        <v>75</v>
      </c>
      <c r="J29" s="18">
        <f t="shared" si="22"/>
        <v>97.5</v>
      </c>
      <c r="K29" s="4">
        <v>165</v>
      </c>
      <c r="L29" s="11"/>
      <c r="M29" s="10">
        <f>7+7+7+7</f>
        <v>28</v>
      </c>
      <c r="N29" s="18"/>
      <c r="O29" s="3"/>
      <c r="Q29" s="5"/>
      <c r="R29" s="2"/>
      <c r="S29" s="6"/>
      <c r="T29" s="2"/>
      <c r="V29" s="46">
        <f t="shared" si="16"/>
        <v>15.384615384615383</v>
      </c>
      <c r="W29" s="46">
        <f>180+34</f>
        <v>214</v>
      </c>
      <c r="X29" s="47">
        <v>1109</v>
      </c>
      <c r="Y29" s="48">
        <f t="shared" si="23"/>
        <v>0.85307692307692307</v>
      </c>
      <c r="Z29" s="49">
        <v>16.384</v>
      </c>
      <c r="AA29" s="49">
        <f t="shared" si="24"/>
        <v>10.07080078125</v>
      </c>
      <c r="AB29" s="50">
        <v>13.99</v>
      </c>
      <c r="AC29" s="51">
        <v>14.76</v>
      </c>
      <c r="AD29" s="47">
        <f t="shared" si="21"/>
        <v>0.76999999999999957</v>
      </c>
      <c r="AE29" s="52">
        <v>114</v>
      </c>
      <c r="AF29" s="18"/>
      <c r="AG29" s="3"/>
      <c r="AK29" s="2"/>
      <c r="AL29" s="6"/>
      <c r="AM29" s="6"/>
      <c r="AN29" s="27"/>
      <c r="AO29" s="29">
        <f t="shared" si="13"/>
        <v>46.153846153846153</v>
      </c>
      <c r="AP29" s="29">
        <v>60</v>
      </c>
      <c r="AQ29" s="29">
        <v>14</v>
      </c>
      <c r="AR29" s="90">
        <v>9</v>
      </c>
      <c r="AS29" s="90">
        <v>58</v>
      </c>
      <c r="AT29" s="30">
        <v>881</v>
      </c>
      <c r="AU29" s="31">
        <f t="shared" si="5"/>
        <v>0.6776923076923077</v>
      </c>
      <c r="AV29" s="35">
        <v>12.54</v>
      </c>
      <c r="AW29" s="32">
        <f t="shared" si="14"/>
        <v>13.157894736842106</v>
      </c>
      <c r="AX29" s="33">
        <v>13.99</v>
      </c>
      <c r="AY29" s="34">
        <v>15.06</v>
      </c>
      <c r="AZ29" s="30">
        <f t="shared" si="20"/>
        <v>1.0700000000000003</v>
      </c>
      <c r="BA29" s="36">
        <v>115</v>
      </c>
    </row>
    <row r="30" spans="1:53">
      <c r="A30" s="61" t="str">
        <f t="shared" si="8"/>
        <v>Infinity 1500 LiGr ($25)</v>
      </c>
      <c r="B30" s="4">
        <v>3</v>
      </c>
      <c r="C30" s="4" t="s">
        <v>67</v>
      </c>
      <c r="D30" s="4">
        <v>1500</v>
      </c>
      <c r="E30" s="4">
        <v>4</v>
      </c>
      <c r="F30" s="4" t="s">
        <v>61</v>
      </c>
      <c r="G30" s="4" t="s">
        <v>38</v>
      </c>
      <c r="H30" s="17">
        <v>25</v>
      </c>
      <c r="I30" s="4">
        <v>70</v>
      </c>
      <c r="J30" s="18">
        <f t="shared" si="22"/>
        <v>105</v>
      </c>
      <c r="K30" s="4">
        <v>165</v>
      </c>
      <c r="L30" s="11"/>
      <c r="M30" s="10">
        <f>6+7+6+6</f>
        <v>25</v>
      </c>
      <c r="N30" s="18"/>
      <c r="O30" s="3"/>
      <c r="Q30" s="5"/>
      <c r="R30" s="2"/>
      <c r="S30" s="6"/>
      <c r="T30" s="2"/>
      <c r="V30" s="46">
        <f t="shared" si="16"/>
        <v>13.333333333333334</v>
      </c>
      <c r="W30" s="46">
        <f>240+10</f>
        <v>250</v>
      </c>
      <c r="X30" s="47">
        <v>1302</v>
      </c>
      <c r="Y30" s="48">
        <f t="shared" si="23"/>
        <v>0.86799999999999999</v>
      </c>
      <c r="Z30" s="49">
        <v>19.178000000000001</v>
      </c>
      <c r="AA30" s="49">
        <f t="shared" si="24"/>
        <v>8.6036083011784328</v>
      </c>
      <c r="AB30" s="50">
        <v>13.99</v>
      </c>
      <c r="AC30" s="51">
        <v>14.7</v>
      </c>
      <c r="AD30" s="47">
        <f t="shared" si="21"/>
        <v>0.70999999999999908</v>
      </c>
      <c r="AE30" s="52">
        <v>119</v>
      </c>
      <c r="AF30" s="18"/>
      <c r="AG30" s="3"/>
      <c r="AK30" s="2"/>
      <c r="AL30" s="6"/>
      <c r="AM30" s="6"/>
      <c r="AN30" s="27"/>
      <c r="AO30" s="29">
        <f t="shared" si="13"/>
        <v>40</v>
      </c>
      <c r="AP30" s="29">
        <v>60</v>
      </c>
      <c r="AQ30" s="29">
        <v>7</v>
      </c>
      <c r="AR30" s="90">
        <v>28</v>
      </c>
      <c r="AS30" s="90">
        <v>64</v>
      </c>
      <c r="AT30" s="30">
        <v>945</v>
      </c>
      <c r="AU30" s="31">
        <f t="shared" si="5"/>
        <v>0.63</v>
      </c>
      <c r="AV30" s="35">
        <v>13.359</v>
      </c>
      <c r="AW30" s="32">
        <f t="shared" si="14"/>
        <v>12.351223894004042</v>
      </c>
      <c r="AX30" s="33">
        <v>13.99</v>
      </c>
      <c r="AY30" s="34">
        <v>15.06</v>
      </c>
      <c r="AZ30" s="30">
        <f t="shared" si="20"/>
        <v>1.0700000000000003</v>
      </c>
      <c r="BA30" s="36">
        <v>120</v>
      </c>
    </row>
    <row r="31" spans="1:53">
      <c r="A31" s="61" t="str">
        <f t="shared" si="8"/>
        <v>Lumenier 1300 LiPo ($30)</v>
      </c>
      <c r="B31" s="4">
        <v>3</v>
      </c>
      <c r="C31" s="4" t="s">
        <v>60</v>
      </c>
      <c r="D31" s="4">
        <v>1300</v>
      </c>
      <c r="E31" s="4">
        <v>4</v>
      </c>
      <c r="F31" s="4" t="s">
        <v>35</v>
      </c>
      <c r="G31" s="4" t="s">
        <v>38</v>
      </c>
      <c r="H31" s="17">
        <v>30</v>
      </c>
      <c r="I31" s="4">
        <v>60</v>
      </c>
      <c r="J31" s="18">
        <f t="shared" si="22"/>
        <v>78</v>
      </c>
      <c r="K31" s="4">
        <v>151</v>
      </c>
      <c r="L31" s="11"/>
      <c r="M31" s="10">
        <f>7+8+7+7</f>
        <v>29</v>
      </c>
      <c r="N31" s="18"/>
      <c r="O31" s="3"/>
      <c r="Q31" s="5"/>
      <c r="R31" s="2"/>
      <c r="S31" s="6"/>
      <c r="T31" s="2"/>
      <c r="V31" s="46">
        <f t="shared" si="16"/>
        <v>15.384615384615383</v>
      </c>
      <c r="W31" s="46">
        <f>180+39</f>
        <v>219</v>
      </c>
      <c r="X31" s="47">
        <v>1152</v>
      </c>
      <c r="Y31" s="48">
        <f t="shared" si="23"/>
        <v>0.88615384615384618</v>
      </c>
      <c r="Z31" s="49">
        <v>16.898</v>
      </c>
      <c r="AA31" s="49">
        <f t="shared" si="24"/>
        <v>8.9359687536986634</v>
      </c>
      <c r="AB31" s="50">
        <v>13.99</v>
      </c>
      <c r="AC31" s="51">
        <v>14.76</v>
      </c>
      <c r="AD31" s="47">
        <f t="shared" si="21"/>
        <v>0.76999999999999957</v>
      </c>
      <c r="AE31" s="52">
        <v>124</v>
      </c>
      <c r="AF31" s="18"/>
      <c r="AG31" s="3"/>
      <c r="AK31" s="2"/>
      <c r="AL31" s="6"/>
      <c r="AM31" s="6"/>
      <c r="AN31" s="27"/>
      <c r="AO31" s="29">
        <f t="shared" si="13"/>
        <v>46.153846153846153</v>
      </c>
      <c r="AP31" s="29">
        <v>60</v>
      </c>
      <c r="AQ31" s="29">
        <v>22</v>
      </c>
      <c r="AR31" s="90">
        <v>6</v>
      </c>
      <c r="AS31" s="90">
        <v>59</v>
      </c>
      <c r="AT31" s="30">
        <v>850</v>
      </c>
      <c r="AU31" s="31">
        <f t="shared" si="5"/>
        <v>0.65384615384615385</v>
      </c>
      <c r="AV31" s="35">
        <v>11.981999999999999</v>
      </c>
      <c r="AW31" s="32">
        <f t="shared" si="14"/>
        <v>12.602236688365883</v>
      </c>
      <c r="AX31" s="33">
        <v>13.99</v>
      </c>
      <c r="AY31" s="34">
        <v>15.06</v>
      </c>
      <c r="AZ31" s="30">
        <f t="shared" si="20"/>
        <v>1.0700000000000003</v>
      </c>
      <c r="BA31" s="36">
        <v>124</v>
      </c>
    </row>
    <row r="32" spans="1:53">
      <c r="A32" s="61" t="str">
        <f t="shared" si="8"/>
        <v>Lumenier 1000 LiGr ($33)</v>
      </c>
      <c r="B32" s="4">
        <v>3</v>
      </c>
      <c r="C32" s="4" t="s">
        <v>60</v>
      </c>
      <c r="D32" s="4">
        <v>1000</v>
      </c>
      <c r="E32" s="4">
        <v>4</v>
      </c>
      <c r="F32" s="4" t="s">
        <v>61</v>
      </c>
      <c r="G32" s="4" t="s">
        <v>38</v>
      </c>
      <c r="H32" s="17">
        <v>33</v>
      </c>
      <c r="I32" s="22">
        <v>80</v>
      </c>
      <c r="J32" s="18">
        <f t="shared" ref="J32:J68" si="25">I32*D32/1000</f>
        <v>80</v>
      </c>
      <c r="K32" s="4">
        <v>137</v>
      </c>
      <c r="L32" s="11"/>
      <c r="M32" s="4">
        <f>6+7+6+7</f>
        <v>26</v>
      </c>
      <c r="N32" s="18"/>
      <c r="O32" s="3"/>
      <c r="Q32" s="5"/>
      <c r="R32" s="9"/>
      <c r="S32" s="6"/>
      <c r="T32" s="6"/>
      <c r="U32" s="27"/>
      <c r="V32" s="46">
        <f t="shared" si="16"/>
        <v>20</v>
      </c>
      <c r="W32" s="46">
        <f>120+44</f>
        <v>164</v>
      </c>
      <c r="X32" s="47">
        <v>854</v>
      </c>
      <c r="Y32" s="48">
        <f t="shared" si="23"/>
        <v>0.85399999999999998</v>
      </c>
      <c r="Z32" s="49">
        <v>12.493</v>
      </c>
      <c r="AA32" s="49">
        <f t="shared" si="24"/>
        <v>10.96614103898183</v>
      </c>
      <c r="AB32" s="50">
        <v>13.99</v>
      </c>
      <c r="AC32" s="51">
        <v>14.82</v>
      </c>
      <c r="AD32" s="47">
        <f t="shared" si="21"/>
        <v>0.83000000000000007</v>
      </c>
      <c r="AE32" s="58">
        <v>119</v>
      </c>
      <c r="AF32" s="18"/>
      <c r="AG32" s="3"/>
      <c r="AK32" s="9"/>
      <c r="AL32" s="6"/>
      <c r="AM32" s="6"/>
      <c r="AN32" s="27"/>
      <c r="AO32" s="29">
        <f t="shared" si="13"/>
        <v>60</v>
      </c>
      <c r="AP32" s="29">
        <v>60</v>
      </c>
      <c r="AQ32" s="29">
        <v>15</v>
      </c>
      <c r="AR32" s="90">
        <v>4</v>
      </c>
      <c r="AS32" s="90">
        <v>44</v>
      </c>
      <c r="AT32" s="30">
        <v>604</v>
      </c>
      <c r="AU32" s="31">
        <f t="shared" si="5"/>
        <v>0.60399999999999998</v>
      </c>
      <c r="AV32" s="35">
        <v>8.5310000000000006</v>
      </c>
      <c r="AW32" s="32">
        <f t="shared" si="14"/>
        <v>16.059078654319539</v>
      </c>
      <c r="AX32" s="33">
        <v>13.99</v>
      </c>
      <c r="AY32" s="34">
        <v>15.06</v>
      </c>
      <c r="AZ32" s="30">
        <f t="shared" si="20"/>
        <v>1.0700000000000003</v>
      </c>
      <c r="BA32" s="37">
        <v>117</v>
      </c>
    </row>
    <row r="33" spans="1:53">
      <c r="A33" s="61" t="str">
        <f t="shared" si="8"/>
        <v>RMRC Orange 1800 LiPo ($32)</v>
      </c>
      <c r="B33" s="4">
        <v>3</v>
      </c>
      <c r="C33" s="4" t="s">
        <v>68</v>
      </c>
      <c r="D33" s="4">
        <v>1800</v>
      </c>
      <c r="E33" s="4">
        <v>4</v>
      </c>
      <c r="F33" s="4" t="s">
        <v>35</v>
      </c>
      <c r="G33" s="4" t="s">
        <v>38</v>
      </c>
      <c r="H33" s="17">
        <v>32</v>
      </c>
      <c r="I33" s="4">
        <v>60</v>
      </c>
      <c r="J33" s="4">
        <f t="shared" si="25"/>
        <v>108</v>
      </c>
      <c r="K33" s="4">
        <v>208</v>
      </c>
      <c r="M33" s="4">
        <f>5+5+7+8</f>
        <v>25</v>
      </c>
      <c r="V33" s="46">
        <f t="shared" si="16"/>
        <v>11.111111111111111</v>
      </c>
      <c r="W33" s="46">
        <f>240+43</f>
        <v>283</v>
      </c>
      <c r="X33" s="47">
        <v>1481</v>
      </c>
      <c r="Y33" s="48">
        <f t="shared" si="23"/>
        <v>0.82277777777777783</v>
      </c>
      <c r="Z33" s="49">
        <v>21.899000000000001</v>
      </c>
      <c r="AA33" s="49">
        <f t="shared" si="24"/>
        <v>9.4981506004840401</v>
      </c>
      <c r="AB33" s="47">
        <v>13.99</v>
      </c>
      <c r="AC33" s="51">
        <v>14.7</v>
      </c>
      <c r="AD33" s="47">
        <f t="shared" si="21"/>
        <v>0.70999999999999908</v>
      </c>
      <c r="AE33" s="47">
        <v>110</v>
      </c>
      <c r="AO33" s="29">
        <f t="shared" si="13"/>
        <v>33.333333333333336</v>
      </c>
      <c r="AP33" s="30">
        <v>60</v>
      </c>
      <c r="AQ33" s="30">
        <v>3</v>
      </c>
      <c r="AR33" s="86">
        <v>62</v>
      </c>
      <c r="AS33" s="29">
        <f>60+20</f>
        <v>80</v>
      </c>
      <c r="AT33" s="30">
        <v>1140</v>
      </c>
      <c r="AU33" s="31">
        <f>AT33/D33</f>
        <v>0.6333333333333333</v>
      </c>
      <c r="AV33" s="35">
        <v>16.234000000000002</v>
      </c>
      <c r="AW33" s="32">
        <f>K33/AV33</f>
        <v>12.812615498336822</v>
      </c>
      <c r="AX33" s="30">
        <v>13.99</v>
      </c>
      <c r="AY33" s="34">
        <v>15.06</v>
      </c>
      <c r="AZ33" s="30">
        <f t="shared" si="20"/>
        <v>1.0700000000000003</v>
      </c>
      <c r="BA33" s="30">
        <v>126</v>
      </c>
    </row>
    <row r="34" spans="1:53">
      <c r="A34" s="61" t="str">
        <f t="shared" si="8"/>
        <v>RMRC Orange 1500 LiPo ($28)</v>
      </c>
      <c r="B34" s="4">
        <v>3</v>
      </c>
      <c r="C34" s="4" t="s">
        <v>68</v>
      </c>
      <c r="D34" s="4">
        <v>1500</v>
      </c>
      <c r="E34" s="4">
        <v>4</v>
      </c>
      <c r="F34" s="4" t="s">
        <v>35</v>
      </c>
      <c r="G34" s="4" t="s">
        <v>38</v>
      </c>
      <c r="H34" s="17">
        <v>28</v>
      </c>
      <c r="I34" s="4">
        <v>60</v>
      </c>
      <c r="J34" s="4">
        <f t="shared" si="25"/>
        <v>90</v>
      </c>
      <c r="K34" s="4">
        <v>167</v>
      </c>
      <c r="M34" s="4">
        <f>7+6+6+5</f>
        <v>24</v>
      </c>
      <c r="V34" s="46">
        <f t="shared" si="16"/>
        <v>13.333333333333334</v>
      </c>
      <c r="W34" s="46">
        <f>180+57</f>
        <v>237</v>
      </c>
      <c r="X34" s="47">
        <v>1246</v>
      </c>
      <c r="Y34" s="48">
        <f t="shared" si="23"/>
        <v>0.83066666666666666</v>
      </c>
      <c r="Z34" s="49">
        <v>18.263999999999999</v>
      </c>
      <c r="AA34" s="49">
        <f t="shared" si="24"/>
        <v>9.1436706088480069</v>
      </c>
      <c r="AB34" s="47">
        <v>13.99</v>
      </c>
      <c r="AE34" s="47">
        <v>118</v>
      </c>
      <c r="AO34" s="29">
        <f t="shared" si="13"/>
        <v>40</v>
      </c>
      <c r="AP34" s="30">
        <v>60</v>
      </c>
      <c r="AQ34" s="30">
        <v>14</v>
      </c>
      <c r="AR34" s="86">
        <v>9</v>
      </c>
      <c r="AS34" s="29">
        <v>68</v>
      </c>
      <c r="AT34" s="30">
        <v>989</v>
      </c>
      <c r="AU34" s="31">
        <f>AT34/D34</f>
        <v>0.65933333333333333</v>
      </c>
      <c r="AV34" s="35">
        <v>14.058</v>
      </c>
      <c r="AW34" s="32">
        <f>K34/AV34</f>
        <v>11.879356949779485</v>
      </c>
      <c r="AX34" s="30">
        <v>13.99</v>
      </c>
      <c r="AY34" s="34">
        <v>15.06</v>
      </c>
      <c r="AZ34" s="30">
        <f t="shared" si="20"/>
        <v>1.0700000000000003</v>
      </c>
      <c r="BA34" s="30">
        <v>123</v>
      </c>
    </row>
    <row r="35" spans="1:53">
      <c r="A35" s="61" t="str">
        <f t="shared" si="8"/>
        <v>Mad Dog 1500 LiHV ($39)</v>
      </c>
      <c r="B35" s="4">
        <v>3</v>
      </c>
      <c r="C35" s="4" t="s">
        <v>41</v>
      </c>
      <c r="D35" s="4">
        <v>1500</v>
      </c>
      <c r="E35" s="4">
        <v>4</v>
      </c>
      <c r="F35" s="4" t="s">
        <v>30</v>
      </c>
      <c r="G35" s="4" t="s">
        <v>38</v>
      </c>
      <c r="H35" s="17">
        <v>39</v>
      </c>
      <c r="I35" s="4">
        <v>60</v>
      </c>
      <c r="J35" s="4">
        <f t="shared" si="25"/>
        <v>90</v>
      </c>
      <c r="K35" s="4">
        <v>181</v>
      </c>
      <c r="M35" s="4">
        <f>6+6+4+5</f>
        <v>21</v>
      </c>
      <c r="V35" s="46">
        <f t="shared" si="16"/>
        <v>13.333333333333334</v>
      </c>
      <c r="W35" s="46">
        <f>240+28</f>
        <v>268</v>
      </c>
      <c r="X35" s="47">
        <v>1419</v>
      </c>
      <c r="Y35" s="48">
        <f t="shared" si="23"/>
        <v>0.94599999999999995</v>
      </c>
      <c r="Z35" s="49">
        <v>21.364999999999998</v>
      </c>
      <c r="AA35" s="49">
        <f t="shared" si="24"/>
        <v>8.4717996723613389</v>
      </c>
      <c r="AB35" s="47">
        <v>13.99</v>
      </c>
      <c r="AE35" s="47">
        <v>117</v>
      </c>
      <c r="AO35" s="29">
        <f t="shared" si="13"/>
        <v>40</v>
      </c>
      <c r="AP35" s="30">
        <v>60</v>
      </c>
      <c r="AQ35" s="30">
        <v>2</v>
      </c>
      <c r="AR35" s="86">
        <v>70</v>
      </c>
      <c r="AS35" s="29">
        <f>60+19</f>
        <v>79</v>
      </c>
      <c r="AT35" s="30">
        <v>1150</v>
      </c>
      <c r="AU35" s="31">
        <f>AT35/D35</f>
        <v>0.76666666666666672</v>
      </c>
      <c r="AV35" s="35">
        <v>16.571000000000002</v>
      </c>
      <c r="AW35" s="32">
        <f>K35/AV35</f>
        <v>10.922696276627843</v>
      </c>
      <c r="AX35" s="30">
        <v>13.99</v>
      </c>
      <c r="AY35" s="34">
        <v>15.06</v>
      </c>
      <c r="AZ35" s="30">
        <f t="shared" si="20"/>
        <v>1.0700000000000003</v>
      </c>
      <c r="BA35" s="30">
        <v>134</v>
      </c>
    </row>
    <row r="36" spans="1:53">
      <c r="A36" s="61" t="str">
        <f t="shared" ref="A36:A68" si="26">_xlfn.CONCAT(C36," ",D36, " ", F36, " ($",H36,")")</f>
        <v>Strix 1550 LiPo ($40)</v>
      </c>
      <c r="B36" s="4">
        <v>4</v>
      </c>
      <c r="C36" s="4" t="s">
        <v>69</v>
      </c>
      <c r="D36" s="4">
        <v>1550</v>
      </c>
      <c r="E36" s="4">
        <v>4</v>
      </c>
      <c r="F36" s="4" t="s">
        <v>35</v>
      </c>
      <c r="G36" s="4" t="s">
        <v>38</v>
      </c>
      <c r="H36" s="26">
        <v>40</v>
      </c>
      <c r="I36" s="4">
        <v>95</v>
      </c>
      <c r="J36" s="18">
        <f t="shared" si="25"/>
        <v>147.25</v>
      </c>
      <c r="K36" s="4">
        <v>194</v>
      </c>
      <c r="M36" s="4">
        <v>16</v>
      </c>
      <c r="V36" s="46">
        <f t="shared" ref="V36:V58" si="27">20/(D36/1000)</f>
        <v>12.903225806451612</v>
      </c>
      <c r="W36" s="46">
        <v>267</v>
      </c>
      <c r="X36" s="47">
        <v>1410</v>
      </c>
      <c r="Y36" s="48">
        <f t="shared" ref="Y36:Y42" si="28">X36/D36</f>
        <v>0.9096774193548387</v>
      </c>
      <c r="Z36" s="49">
        <v>21.039000000000001</v>
      </c>
      <c r="AA36" s="49">
        <f t="shared" ref="AA36:AA42" si="29">K36/Z36</f>
        <v>9.2209705784495455</v>
      </c>
      <c r="AB36" s="47">
        <v>13.99</v>
      </c>
      <c r="AC36" s="51">
        <v>14.52</v>
      </c>
      <c r="AD36" s="47">
        <f t="shared" ref="AD36:AD42" si="30">AC36-AB36</f>
        <v>0.52999999999999936</v>
      </c>
      <c r="AE36" s="47">
        <v>111</v>
      </c>
      <c r="AO36" s="29">
        <f>60/(D36/1000)</f>
        <v>38.70967741935484</v>
      </c>
      <c r="AP36" s="30">
        <v>60</v>
      </c>
      <c r="AQ36" s="30">
        <v>2</v>
      </c>
      <c r="AR36" s="86">
        <v>55</v>
      </c>
      <c r="AS36" s="29">
        <v>64</v>
      </c>
      <c r="AT36" s="30">
        <v>985</v>
      </c>
      <c r="AU36" s="31">
        <f t="shared" ref="AU36:AU57" si="31">AT36/D36</f>
        <v>0.63548387096774195</v>
      </c>
      <c r="AV36" s="35">
        <v>14.018000000000001</v>
      </c>
      <c r="AW36" s="32">
        <f t="shared" ref="AW36:AW57" si="32">K36/AV36</f>
        <v>13.839349407904123</v>
      </c>
      <c r="AX36" s="30">
        <v>13.99</v>
      </c>
      <c r="AY36" s="34">
        <v>15.12</v>
      </c>
      <c r="AZ36" s="30">
        <f t="shared" ref="AZ36:AZ57" si="33">AY36-AX36</f>
        <v>1.129999999999999</v>
      </c>
      <c r="BA36" s="30">
        <v>121</v>
      </c>
    </row>
    <row r="37" spans="1:53">
      <c r="A37" s="61" t="str">
        <f t="shared" si="26"/>
        <v>Onbo 1500 LiGr ($40)</v>
      </c>
      <c r="B37" s="4">
        <v>4</v>
      </c>
      <c r="C37" s="4" t="s">
        <v>70</v>
      </c>
      <c r="D37" s="4">
        <v>1500</v>
      </c>
      <c r="E37" s="4">
        <v>4</v>
      </c>
      <c r="F37" s="4" t="s">
        <v>61</v>
      </c>
      <c r="G37" s="4" t="s">
        <v>38</v>
      </c>
      <c r="H37" s="26">
        <v>40</v>
      </c>
      <c r="I37" s="4">
        <v>80</v>
      </c>
      <c r="J37" s="18">
        <f t="shared" si="25"/>
        <v>120</v>
      </c>
      <c r="K37" s="4">
        <v>200</v>
      </c>
      <c r="M37" s="4">
        <v>17</v>
      </c>
      <c r="V37" s="46">
        <f t="shared" si="27"/>
        <v>13.333333333333334</v>
      </c>
      <c r="W37" s="46">
        <v>265</v>
      </c>
      <c r="X37" s="47">
        <v>1400</v>
      </c>
      <c r="Y37" s="48">
        <f t="shared" si="28"/>
        <v>0.93333333333333335</v>
      </c>
      <c r="Z37" s="49">
        <v>20.837</v>
      </c>
      <c r="AA37" s="49">
        <f t="shared" si="29"/>
        <v>9.598310697317272</v>
      </c>
      <c r="AB37" s="47">
        <v>13.99</v>
      </c>
      <c r="AC37" s="51">
        <v>14.52</v>
      </c>
      <c r="AD37" s="47">
        <f t="shared" si="30"/>
        <v>0.52999999999999936</v>
      </c>
      <c r="AE37" s="47">
        <v>115</v>
      </c>
      <c r="AO37" s="29">
        <f>60/(D37/1000)</f>
        <v>40</v>
      </c>
      <c r="AP37" s="30">
        <v>60</v>
      </c>
      <c r="AQ37" s="30">
        <v>4</v>
      </c>
      <c r="AR37" s="86">
        <v>45</v>
      </c>
      <c r="AS37" s="29">
        <v>62</v>
      </c>
      <c r="AT37" s="30">
        <v>1010</v>
      </c>
      <c r="AU37" s="31">
        <f t="shared" si="31"/>
        <v>0.67333333333333334</v>
      </c>
      <c r="AV37" s="35">
        <v>14.369</v>
      </c>
      <c r="AW37" s="32">
        <f t="shared" si="32"/>
        <v>13.918853086505672</v>
      </c>
      <c r="AX37" s="30">
        <v>13.99</v>
      </c>
      <c r="AY37" s="34">
        <v>15.06</v>
      </c>
      <c r="AZ37" s="30">
        <f t="shared" si="33"/>
        <v>1.0700000000000003</v>
      </c>
      <c r="BA37" s="30">
        <v>120</v>
      </c>
    </row>
    <row r="38" spans="1:53">
      <c r="A38" s="61" t="str">
        <f t="shared" si="26"/>
        <v>Onbo 1500 LiPo ($35)</v>
      </c>
      <c r="B38" s="4">
        <v>4</v>
      </c>
      <c r="C38" s="4" t="s">
        <v>70</v>
      </c>
      <c r="D38" s="4">
        <v>1500</v>
      </c>
      <c r="E38" s="4">
        <v>4</v>
      </c>
      <c r="F38" s="4" t="s">
        <v>35</v>
      </c>
      <c r="G38" s="4" t="s">
        <v>38</v>
      </c>
      <c r="H38" s="26">
        <v>35</v>
      </c>
      <c r="I38" s="4">
        <v>95</v>
      </c>
      <c r="J38" s="18">
        <f t="shared" si="25"/>
        <v>142.5</v>
      </c>
      <c r="K38" s="4">
        <v>206</v>
      </c>
      <c r="M38" s="4">
        <v>18</v>
      </c>
      <c r="V38" s="46">
        <f t="shared" si="27"/>
        <v>13.333333333333334</v>
      </c>
      <c r="W38" s="46">
        <v>268</v>
      </c>
      <c r="X38" s="47">
        <v>1414</v>
      </c>
      <c r="Y38" s="48">
        <f t="shared" si="28"/>
        <v>0.94266666666666665</v>
      </c>
      <c r="Z38" s="49">
        <v>21.064</v>
      </c>
      <c r="AA38" s="49">
        <f t="shared" si="29"/>
        <v>9.7797189517660463</v>
      </c>
      <c r="AB38" s="47">
        <v>13.99</v>
      </c>
      <c r="AC38" s="51">
        <v>14.64</v>
      </c>
      <c r="AD38" s="47">
        <f t="shared" si="30"/>
        <v>0.65000000000000036</v>
      </c>
      <c r="AE38" s="47">
        <v>114</v>
      </c>
      <c r="AO38" s="29">
        <f>60/(D38/1000)</f>
        <v>40</v>
      </c>
      <c r="AP38" s="30">
        <v>60</v>
      </c>
      <c r="AQ38" s="30">
        <v>5</v>
      </c>
      <c r="AR38" s="86">
        <v>43</v>
      </c>
      <c r="AS38" s="29">
        <v>66</v>
      </c>
      <c r="AT38" s="30">
        <v>1048</v>
      </c>
      <c r="AU38" s="31">
        <f t="shared" si="31"/>
        <v>0.69866666666666666</v>
      </c>
      <c r="AV38" s="35">
        <v>14.903</v>
      </c>
      <c r="AW38" s="32">
        <f t="shared" si="32"/>
        <v>13.822720257666241</v>
      </c>
      <c r="AX38" s="30">
        <v>13.99</v>
      </c>
      <c r="AY38" s="34">
        <v>15.06</v>
      </c>
      <c r="AZ38" s="30">
        <f t="shared" si="33"/>
        <v>1.0700000000000003</v>
      </c>
      <c r="BA38" s="30">
        <v>124</v>
      </c>
    </row>
    <row r="39" spans="1:53">
      <c r="A39" s="61" t="str">
        <f t="shared" si="26"/>
        <v>Indestructible Quads Black Label 1500 LiPo ($20)</v>
      </c>
      <c r="B39" s="4">
        <v>4</v>
      </c>
      <c r="C39" s="4" t="s">
        <v>71</v>
      </c>
      <c r="D39" s="4">
        <v>1500</v>
      </c>
      <c r="E39" s="4">
        <v>4</v>
      </c>
      <c r="F39" s="4" t="s">
        <v>35</v>
      </c>
      <c r="G39" s="4" t="s">
        <v>38</v>
      </c>
      <c r="H39" s="26">
        <v>20</v>
      </c>
      <c r="I39" s="4">
        <v>80</v>
      </c>
      <c r="J39" s="18">
        <f t="shared" si="25"/>
        <v>120</v>
      </c>
      <c r="K39" s="4">
        <v>181</v>
      </c>
      <c r="M39" s="4">
        <v>22</v>
      </c>
      <c r="V39" s="46">
        <f t="shared" si="27"/>
        <v>13.333333333333334</v>
      </c>
      <c r="W39" s="46">
        <v>248</v>
      </c>
      <c r="X39" s="47">
        <v>1310</v>
      </c>
      <c r="Y39" s="48">
        <f t="shared" si="28"/>
        <v>0.87333333333333329</v>
      </c>
      <c r="Z39" s="49">
        <v>19.363</v>
      </c>
      <c r="AA39" s="49">
        <f t="shared" si="29"/>
        <v>9.3477250426070349</v>
      </c>
      <c r="AB39" s="47">
        <v>13.99</v>
      </c>
      <c r="AC39" s="51">
        <v>14.76</v>
      </c>
      <c r="AD39" s="47">
        <f t="shared" si="30"/>
        <v>0.76999999999999957</v>
      </c>
      <c r="AE39" s="47">
        <v>116</v>
      </c>
      <c r="AO39" s="29">
        <f>60/(D39/1000)</f>
        <v>40</v>
      </c>
      <c r="AP39" s="30">
        <v>60</v>
      </c>
      <c r="AQ39" s="30">
        <v>7</v>
      </c>
      <c r="AR39" s="86">
        <v>22</v>
      </c>
      <c r="AS39" s="29">
        <v>59</v>
      </c>
      <c r="AT39" s="30">
        <v>942</v>
      </c>
      <c r="AU39" s="31">
        <f t="shared" si="31"/>
        <v>0.628</v>
      </c>
      <c r="AV39" s="35">
        <v>13.337</v>
      </c>
      <c r="AW39" s="32">
        <f t="shared" si="32"/>
        <v>13.571267901327134</v>
      </c>
      <c r="AX39" s="30">
        <v>13.99</v>
      </c>
      <c r="AY39" s="34">
        <v>15.06</v>
      </c>
      <c r="AZ39" s="30">
        <f t="shared" si="33"/>
        <v>1.0700000000000003</v>
      </c>
      <c r="BA39" s="30">
        <v>120</v>
      </c>
    </row>
    <row r="40" spans="1:53">
      <c r="A40" s="61" t="str">
        <f t="shared" si="26"/>
        <v>Revolectrix 435 GoPack Silver 1550 HVGr ($)</v>
      </c>
      <c r="B40" s="4">
        <v>4</v>
      </c>
      <c r="C40" s="4" t="s">
        <v>72</v>
      </c>
      <c r="D40" s="4">
        <v>1550</v>
      </c>
      <c r="E40" s="4">
        <v>4</v>
      </c>
      <c r="F40" s="4" t="s">
        <v>73</v>
      </c>
      <c r="G40" s="4" t="s">
        <v>38</v>
      </c>
      <c r="H40" s="26"/>
      <c r="I40" s="4">
        <v>70</v>
      </c>
      <c r="J40" s="18">
        <f t="shared" si="25"/>
        <v>108.5</v>
      </c>
      <c r="K40" s="4">
        <v>188</v>
      </c>
      <c r="M40" s="4">
        <v>20</v>
      </c>
      <c r="V40" s="46">
        <f t="shared" si="27"/>
        <v>12.903225806451612</v>
      </c>
      <c r="W40" s="46">
        <v>247</v>
      </c>
      <c r="X40" s="47">
        <v>1313</v>
      </c>
      <c r="Y40" s="48">
        <f t="shared" si="28"/>
        <v>0.84709677419354834</v>
      </c>
      <c r="Z40" s="49">
        <v>19.742000000000001</v>
      </c>
      <c r="AA40" s="49">
        <f t="shared" si="29"/>
        <v>9.5228446965859579</v>
      </c>
      <c r="AB40" s="47">
        <v>13.99</v>
      </c>
      <c r="AC40" s="51">
        <v>14.7</v>
      </c>
      <c r="AD40" s="47">
        <f t="shared" si="30"/>
        <v>0.70999999999999908</v>
      </c>
      <c r="AE40" s="47">
        <v>113</v>
      </c>
      <c r="AO40" s="29">
        <f>60/(D40/1000)</f>
        <v>38.70967741935484</v>
      </c>
      <c r="AP40" s="30">
        <v>60</v>
      </c>
      <c r="AQ40" s="30">
        <v>9</v>
      </c>
      <c r="AR40" s="86">
        <v>14</v>
      </c>
      <c r="AS40" s="29">
        <v>62</v>
      </c>
      <c r="AT40" s="30">
        <v>1011</v>
      </c>
      <c r="AU40" s="31">
        <f t="shared" si="31"/>
        <v>0.652258064516129</v>
      </c>
      <c r="AV40" s="35">
        <v>14.5</v>
      </c>
      <c r="AW40" s="32">
        <f t="shared" si="32"/>
        <v>12.96551724137931</v>
      </c>
      <c r="AX40" s="30">
        <v>13.99</v>
      </c>
      <c r="AY40" s="34">
        <v>15.12</v>
      </c>
      <c r="AZ40" s="30">
        <f t="shared" si="33"/>
        <v>1.129999999999999</v>
      </c>
      <c r="BA40" s="30">
        <v>125</v>
      </c>
    </row>
    <row r="41" spans="1:53">
      <c r="A41" s="61" t="str">
        <f t="shared" si="26"/>
        <v>MyLipo.de 1300 LiPo ($15)</v>
      </c>
      <c r="B41" s="4">
        <v>4</v>
      </c>
      <c r="C41" s="4" t="s">
        <v>74</v>
      </c>
      <c r="D41" s="4">
        <v>1300</v>
      </c>
      <c r="E41" s="4">
        <v>3</v>
      </c>
      <c r="F41" s="4" t="s">
        <v>35</v>
      </c>
      <c r="G41" s="4" t="s">
        <v>38</v>
      </c>
      <c r="H41" s="26">
        <v>15</v>
      </c>
      <c r="I41" s="4">
        <v>50</v>
      </c>
      <c r="J41" s="18">
        <f t="shared" si="25"/>
        <v>65</v>
      </c>
      <c r="K41" s="4">
        <v>112</v>
      </c>
      <c r="M41" s="4">
        <v>20</v>
      </c>
      <c r="V41" s="46">
        <f t="shared" si="27"/>
        <v>15.384615384615383</v>
      </c>
      <c r="W41" s="46">
        <v>237</v>
      </c>
      <c r="X41" s="47">
        <v>1054</v>
      </c>
      <c r="Y41" s="48">
        <f t="shared" si="28"/>
        <v>0.8107692307692308</v>
      </c>
      <c r="Z41" s="49">
        <v>11.644</v>
      </c>
      <c r="AA41" s="49">
        <f t="shared" si="29"/>
        <v>9.6186877361731362</v>
      </c>
      <c r="AB41" s="47">
        <v>10.48</v>
      </c>
      <c r="AC41" s="51">
        <v>10.95</v>
      </c>
      <c r="AD41" s="47">
        <f t="shared" si="30"/>
        <v>0.46999999999999886</v>
      </c>
      <c r="AE41" s="47">
        <v>119</v>
      </c>
      <c r="AO41" s="29">
        <f>45/(D41/1000)</f>
        <v>34.615384615384613</v>
      </c>
      <c r="AP41" s="30">
        <v>45</v>
      </c>
      <c r="AQ41" s="30">
        <v>6</v>
      </c>
      <c r="AR41" s="86">
        <v>36</v>
      </c>
      <c r="AS41" s="29">
        <v>64</v>
      </c>
      <c r="AT41" s="30">
        <v>763</v>
      </c>
      <c r="AU41" s="31">
        <f t="shared" si="31"/>
        <v>0.58692307692307688</v>
      </c>
      <c r="AV41" s="35">
        <v>8.1</v>
      </c>
      <c r="AW41" s="32">
        <f t="shared" si="32"/>
        <v>13.827160493827162</v>
      </c>
      <c r="AX41" s="30">
        <v>10.48</v>
      </c>
      <c r="AY41" s="34">
        <v>11.25</v>
      </c>
      <c r="AZ41" s="30">
        <f t="shared" si="33"/>
        <v>0.76999999999999957</v>
      </c>
      <c r="BA41" s="30">
        <v>119</v>
      </c>
    </row>
    <row r="42" spans="1:53">
      <c r="A42" s="61" t="str">
        <f t="shared" si="26"/>
        <v>MyLipo.de 1600 LiPo ($18)</v>
      </c>
      <c r="B42" s="4">
        <v>4</v>
      </c>
      <c r="C42" s="4" t="s">
        <v>74</v>
      </c>
      <c r="D42" s="4">
        <v>1600</v>
      </c>
      <c r="E42" s="4">
        <v>3</v>
      </c>
      <c r="F42" s="4" t="s">
        <v>35</v>
      </c>
      <c r="G42" s="4" t="s">
        <v>38</v>
      </c>
      <c r="H42" s="26">
        <v>18</v>
      </c>
      <c r="I42" s="4">
        <v>50</v>
      </c>
      <c r="J42" s="18">
        <f t="shared" si="25"/>
        <v>80</v>
      </c>
      <c r="K42" s="4">
        <v>137</v>
      </c>
      <c r="M42" s="4">
        <v>14</v>
      </c>
      <c r="V42" s="46">
        <f t="shared" si="27"/>
        <v>12.5</v>
      </c>
      <c r="W42" s="46">
        <v>304</v>
      </c>
      <c r="X42" s="47">
        <v>1355</v>
      </c>
      <c r="Y42" s="48">
        <f t="shared" si="28"/>
        <v>0.84687500000000004</v>
      </c>
      <c r="Z42" s="49">
        <v>15.058999999999999</v>
      </c>
      <c r="AA42" s="49">
        <f t="shared" si="29"/>
        <v>9.0975496380901788</v>
      </c>
      <c r="AB42" s="47">
        <v>10.48</v>
      </c>
      <c r="AC42" s="51">
        <v>10.89</v>
      </c>
      <c r="AD42" s="47">
        <f t="shared" si="30"/>
        <v>0.41000000000000014</v>
      </c>
      <c r="AE42" s="47">
        <v>109</v>
      </c>
      <c r="AO42" s="29">
        <f>45/(D42/1000)</f>
        <v>28.125</v>
      </c>
      <c r="AP42" s="30">
        <v>45</v>
      </c>
      <c r="AQ42" s="30">
        <v>2</v>
      </c>
      <c r="AR42" s="86">
        <v>72</v>
      </c>
      <c r="AS42" s="29">
        <v>84</v>
      </c>
      <c r="AT42" s="30">
        <v>1033</v>
      </c>
      <c r="AU42" s="31">
        <f t="shared" si="31"/>
        <v>0.645625</v>
      </c>
      <c r="AV42" s="35">
        <v>11.055</v>
      </c>
      <c r="AW42" s="32">
        <f t="shared" si="32"/>
        <v>12.392582541836273</v>
      </c>
      <c r="AX42" s="30">
        <v>10.48</v>
      </c>
      <c r="AY42" s="34">
        <v>11.25</v>
      </c>
      <c r="AZ42" s="30">
        <f t="shared" si="33"/>
        <v>0.76999999999999957</v>
      </c>
      <c r="BA42" s="30">
        <v>118</v>
      </c>
    </row>
    <row r="43" spans="1:53">
      <c r="A43" s="61" t="str">
        <f t="shared" si="26"/>
        <v>NewBeeDrone Nitro Nectar 1500 LiPo ($29)</v>
      </c>
      <c r="B43" s="4">
        <v>4</v>
      </c>
      <c r="C43" s="4" t="s">
        <v>75</v>
      </c>
      <c r="D43" s="4">
        <v>1500</v>
      </c>
      <c r="E43" s="4">
        <v>4</v>
      </c>
      <c r="F43" s="4" t="s">
        <v>35</v>
      </c>
      <c r="G43" s="4" t="s">
        <v>38</v>
      </c>
      <c r="H43" s="26">
        <v>29</v>
      </c>
      <c r="I43" s="4">
        <v>80</v>
      </c>
      <c r="J43" s="4">
        <f t="shared" si="25"/>
        <v>120</v>
      </c>
      <c r="K43" s="4">
        <v>192</v>
      </c>
      <c r="V43" s="46">
        <f t="shared" si="27"/>
        <v>13.333333333333334</v>
      </c>
      <c r="AO43" s="29">
        <f t="shared" ref="AO43:AO68" si="34">60/(D43/1000)</f>
        <v>40</v>
      </c>
      <c r="AP43" s="30">
        <v>60</v>
      </c>
      <c r="AQ43" s="30">
        <v>9</v>
      </c>
      <c r="AR43" s="86">
        <v>14</v>
      </c>
      <c r="AS43" s="29">
        <v>61</v>
      </c>
      <c r="AT43" s="30">
        <v>869</v>
      </c>
      <c r="AU43" s="31">
        <f t="shared" si="31"/>
        <v>0.57933333333333337</v>
      </c>
      <c r="AV43" s="35">
        <v>12.32</v>
      </c>
      <c r="AW43" s="32">
        <f t="shared" si="32"/>
        <v>15.584415584415584</v>
      </c>
      <c r="AX43" s="30">
        <v>13.99</v>
      </c>
      <c r="AY43" s="34">
        <v>15.12</v>
      </c>
      <c r="AZ43" s="30">
        <f t="shared" si="33"/>
        <v>1.129999999999999</v>
      </c>
      <c r="BA43" s="30">
        <v>111</v>
      </c>
    </row>
    <row r="44" spans="1:53">
      <c r="A44" s="61" t="str">
        <f t="shared" si="26"/>
        <v>MyLipo.de 1600 LiPo ($34)</v>
      </c>
      <c r="B44" s="4">
        <v>4</v>
      </c>
      <c r="C44" s="4" t="s">
        <v>74</v>
      </c>
      <c r="D44" s="4">
        <v>1600</v>
      </c>
      <c r="E44" s="4">
        <v>4</v>
      </c>
      <c r="F44" s="4" t="s">
        <v>35</v>
      </c>
      <c r="G44" s="4" t="s">
        <v>38</v>
      </c>
      <c r="H44" s="26">
        <v>34</v>
      </c>
      <c r="I44" s="4">
        <v>50</v>
      </c>
      <c r="J44" s="18">
        <f t="shared" si="25"/>
        <v>80</v>
      </c>
      <c r="K44" s="4">
        <v>176</v>
      </c>
      <c r="M44" s="4">
        <v>21</v>
      </c>
      <c r="V44" s="46">
        <f t="shared" si="27"/>
        <v>12.5</v>
      </c>
      <c r="W44" s="46">
        <v>259</v>
      </c>
      <c r="X44" s="47">
        <v>1361</v>
      </c>
      <c r="Y44" s="48">
        <f>X44/D44</f>
        <v>0.85062499999999996</v>
      </c>
      <c r="Z44" s="49">
        <v>20.119</v>
      </c>
      <c r="AA44" s="49">
        <f>K44/Z44</f>
        <v>8.7479496992892294</v>
      </c>
      <c r="AB44" s="47">
        <v>13.99</v>
      </c>
      <c r="AC44" s="51">
        <v>14.64</v>
      </c>
      <c r="AD44" s="47">
        <f>AC44-AB44</f>
        <v>0.65000000000000036</v>
      </c>
      <c r="AE44" s="47">
        <v>115</v>
      </c>
      <c r="AO44" s="29">
        <f t="shared" si="34"/>
        <v>37.5</v>
      </c>
      <c r="AP44" s="30">
        <v>60</v>
      </c>
      <c r="AQ44" s="30">
        <v>8</v>
      </c>
      <c r="AR44" s="86">
        <v>13</v>
      </c>
      <c r="AS44" s="29">
        <v>57</v>
      </c>
      <c r="AT44" s="30">
        <v>933</v>
      </c>
      <c r="AU44" s="31">
        <f t="shared" si="31"/>
        <v>0.583125</v>
      </c>
      <c r="AV44" s="35">
        <v>13.250999999999999</v>
      </c>
      <c r="AW44" s="32">
        <f t="shared" si="32"/>
        <v>13.282016451588559</v>
      </c>
      <c r="AX44" s="30">
        <v>13.99</v>
      </c>
      <c r="AY44" s="34">
        <v>15.06</v>
      </c>
      <c r="AZ44" s="30">
        <f t="shared" si="33"/>
        <v>1.0700000000000003</v>
      </c>
      <c r="BA44" s="30">
        <v>118</v>
      </c>
    </row>
    <row r="45" spans="1:53">
      <c r="A45" s="61" t="str">
        <f t="shared" si="26"/>
        <v>NewBeeDrone Nitro Nectar 1300 LiPo ($28)</v>
      </c>
      <c r="B45" s="4">
        <v>4</v>
      </c>
      <c r="C45" s="4" t="s">
        <v>75</v>
      </c>
      <c r="D45" s="4">
        <v>1300</v>
      </c>
      <c r="E45" s="4">
        <v>4</v>
      </c>
      <c r="F45" s="4" t="s">
        <v>35</v>
      </c>
      <c r="G45" s="4" t="s">
        <v>38</v>
      </c>
      <c r="H45" s="26">
        <v>28</v>
      </c>
      <c r="I45" s="4">
        <v>80</v>
      </c>
      <c r="J45" s="4">
        <f t="shared" si="25"/>
        <v>104</v>
      </c>
      <c r="K45" s="4">
        <v>180</v>
      </c>
      <c r="V45" s="46">
        <f t="shared" si="27"/>
        <v>15.384615384615383</v>
      </c>
      <c r="AO45" s="29">
        <f t="shared" si="34"/>
        <v>46.153846153846153</v>
      </c>
      <c r="AP45" s="30">
        <v>60</v>
      </c>
      <c r="AQ45" s="30">
        <v>9</v>
      </c>
      <c r="AR45" s="86">
        <v>13</v>
      </c>
      <c r="AS45" s="29">
        <v>54</v>
      </c>
      <c r="AT45" s="30">
        <v>851</v>
      </c>
      <c r="AU45" s="31">
        <f t="shared" si="31"/>
        <v>0.6546153846153846</v>
      </c>
      <c r="AV45" s="35">
        <v>12.08</v>
      </c>
      <c r="AW45" s="32">
        <f t="shared" si="32"/>
        <v>14.900662251655628</v>
      </c>
      <c r="AX45" s="30">
        <v>13.99</v>
      </c>
      <c r="AY45" s="34">
        <v>15.12</v>
      </c>
      <c r="AZ45" s="30">
        <f t="shared" si="33"/>
        <v>1.129999999999999</v>
      </c>
      <c r="BA45" s="30">
        <v>113</v>
      </c>
    </row>
    <row r="46" spans="1:53">
      <c r="A46" s="61" t="str">
        <f t="shared" si="26"/>
        <v>Onbo 1300 LiPo ($32)</v>
      </c>
      <c r="B46" s="4">
        <v>4</v>
      </c>
      <c r="C46" s="4" t="s">
        <v>70</v>
      </c>
      <c r="D46" s="4">
        <v>1300</v>
      </c>
      <c r="E46" s="4">
        <v>4</v>
      </c>
      <c r="F46" s="4" t="s">
        <v>35</v>
      </c>
      <c r="G46" s="4" t="s">
        <v>38</v>
      </c>
      <c r="H46" s="26">
        <v>32</v>
      </c>
      <c r="I46" s="4">
        <v>95</v>
      </c>
      <c r="J46" s="18">
        <f t="shared" si="25"/>
        <v>123.5</v>
      </c>
      <c r="K46" s="4">
        <v>180</v>
      </c>
      <c r="M46" s="4">
        <v>24</v>
      </c>
      <c r="V46" s="46">
        <f t="shared" si="27"/>
        <v>15.384615384615383</v>
      </c>
      <c r="W46" s="46">
        <v>226</v>
      </c>
      <c r="X46" s="47">
        <v>1189</v>
      </c>
      <c r="Y46" s="48">
        <f t="shared" ref="Y46:Y58" si="35">X46/D46</f>
        <v>0.91461538461538461</v>
      </c>
      <c r="Z46" s="49">
        <v>17.584</v>
      </c>
      <c r="AA46" s="49">
        <f t="shared" ref="AA46:AA58" si="36">K46/Z46</f>
        <v>10.236578707916287</v>
      </c>
      <c r="AB46" s="47">
        <v>13.99</v>
      </c>
      <c r="AC46" s="51">
        <v>14.64</v>
      </c>
      <c r="AD46" s="47">
        <f t="shared" ref="AD46:AD58" si="37">AC46-AB46</f>
        <v>0.65000000000000036</v>
      </c>
      <c r="AE46" s="47">
        <v>118</v>
      </c>
      <c r="AO46" s="29">
        <f t="shared" si="34"/>
        <v>46.153846153846153</v>
      </c>
      <c r="AP46" s="30">
        <v>60</v>
      </c>
      <c r="AQ46" s="30">
        <v>11</v>
      </c>
      <c r="AR46" s="86">
        <v>9</v>
      </c>
      <c r="AS46" s="29">
        <v>46</v>
      </c>
      <c r="AT46" s="30">
        <v>885</v>
      </c>
      <c r="AU46" s="31">
        <f t="shared" si="31"/>
        <v>0.68076923076923079</v>
      </c>
      <c r="AV46" s="35">
        <v>12.557</v>
      </c>
      <c r="AW46" s="32">
        <f t="shared" si="32"/>
        <v>14.33463406864697</v>
      </c>
      <c r="AX46" s="30">
        <v>13.99</v>
      </c>
      <c r="AY46" s="34">
        <v>15.06</v>
      </c>
      <c r="AZ46" s="30">
        <f t="shared" si="33"/>
        <v>1.0700000000000003</v>
      </c>
      <c r="BA46" s="30">
        <v>121</v>
      </c>
    </row>
    <row r="47" spans="1:53">
      <c r="A47" s="61" t="str">
        <f t="shared" si="26"/>
        <v>Onbo 1300 LiGr ($38)</v>
      </c>
      <c r="B47" s="4">
        <v>4</v>
      </c>
      <c r="C47" s="4" t="s">
        <v>70</v>
      </c>
      <c r="D47" s="4">
        <v>1300</v>
      </c>
      <c r="E47" s="4">
        <v>4</v>
      </c>
      <c r="F47" s="4" t="s">
        <v>61</v>
      </c>
      <c r="G47" s="4" t="s">
        <v>38</v>
      </c>
      <c r="H47" s="26">
        <v>38</v>
      </c>
      <c r="I47" s="4">
        <v>80</v>
      </c>
      <c r="J47" s="18">
        <f t="shared" si="25"/>
        <v>104</v>
      </c>
      <c r="K47" s="4">
        <v>176</v>
      </c>
      <c r="M47" s="4">
        <v>21</v>
      </c>
      <c r="V47" s="46">
        <f t="shared" si="27"/>
        <v>15.384615384615383</v>
      </c>
      <c r="W47" s="46">
        <v>238</v>
      </c>
      <c r="X47" s="47">
        <v>1248</v>
      </c>
      <c r="Y47" s="48">
        <f t="shared" si="35"/>
        <v>0.96</v>
      </c>
      <c r="Z47" s="49">
        <v>18.507000000000001</v>
      </c>
      <c r="AA47" s="49">
        <f t="shared" si="36"/>
        <v>9.5099151672340181</v>
      </c>
      <c r="AB47" s="47">
        <v>13.99</v>
      </c>
      <c r="AC47" s="51">
        <v>14.64</v>
      </c>
      <c r="AD47" s="47">
        <f t="shared" si="37"/>
        <v>0.65000000000000036</v>
      </c>
      <c r="AE47" s="47">
        <v>112</v>
      </c>
      <c r="AO47" s="29">
        <f t="shared" si="34"/>
        <v>46.153846153846153</v>
      </c>
      <c r="AP47" s="30">
        <v>60</v>
      </c>
      <c r="AQ47" s="30">
        <v>11</v>
      </c>
      <c r="AR47" s="86">
        <v>8</v>
      </c>
      <c r="AS47" s="29">
        <v>54</v>
      </c>
      <c r="AT47" s="30">
        <v>870</v>
      </c>
      <c r="AU47" s="31">
        <f t="shared" si="31"/>
        <v>0.66923076923076918</v>
      </c>
      <c r="AV47" s="35">
        <v>12.374000000000001</v>
      </c>
      <c r="AW47" s="32">
        <f t="shared" si="32"/>
        <v>14.223371585582672</v>
      </c>
      <c r="AX47" s="30">
        <v>13.99</v>
      </c>
      <c r="AY47" s="34">
        <v>15.12</v>
      </c>
      <c r="AZ47" s="30">
        <f t="shared" si="33"/>
        <v>1.129999999999999</v>
      </c>
      <c r="BA47" s="30">
        <v>119</v>
      </c>
    </row>
    <row r="48" spans="1:53">
      <c r="A48" s="61" t="str">
        <f t="shared" si="26"/>
        <v>Dangerous 1500 LiPo ($25)</v>
      </c>
      <c r="B48" s="4">
        <v>4</v>
      </c>
      <c r="C48" s="4" t="s">
        <v>76</v>
      </c>
      <c r="D48" s="4">
        <v>1500</v>
      </c>
      <c r="E48" s="4">
        <v>4</v>
      </c>
      <c r="F48" s="4" t="s">
        <v>35</v>
      </c>
      <c r="G48" s="4" t="s">
        <v>38</v>
      </c>
      <c r="H48" s="26">
        <v>25</v>
      </c>
      <c r="I48" s="4">
        <v>70</v>
      </c>
      <c r="J48" s="18">
        <f t="shared" si="25"/>
        <v>105</v>
      </c>
      <c r="K48" s="4">
        <v>177</v>
      </c>
      <c r="M48" s="4">
        <v>26</v>
      </c>
      <c r="V48" s="46">
        <f t="shared" si="27"/>
        <v>13.333333333333334</v>
      </c>
      <c r="W48" s="46">
        <v>235</v>
      </c>
      <c r="X48" s="47">
        <v>1234</v>
      </c>
      <c r="Y48" s="48">
        <f t="shared" si="35"/>
        <v>0.82266666666666666</v>
      </c>
      <c r="Z48" s="49">
        <v>18.231000000000002</v>
      </c>
      <c r="AA48" s="49">
        <f t="shared" si="36"/>
        <v>9.7087378640776691</v>
      </c>
      <c r="AB48" s="47">
        <v>13.99</v>
      </c>
      <c r="AC48" s="51">
        <v>14.64</v>
      </c>
      <c r="AD48" s="47">
        <f t="shared" si="37"/>
        <v>0.65000000000000036</v>
      </c>
      <c r="AE48" s="47">
        <v>117</v>
      </c>
      <c r="AO48" s="29">
        <f t="shared" si="34"/>
        <v>40</v>
      </c>
      <c r="AP48" s="30">
        <v>60</v>
      </c>
      <c r="AQ48" s="30">
        <v>12</v>
      </c>
      <c r="AR48" s="86">
        <v>8</v>
      </c>
      <c r="AS48" s="29">
        <v>55</v>
      </c>
      <c r="AT48" s="30">
        <v>841</v>
      </c>
      <c r="AU48" s="31">
        <f t="shared" si="31"/>
        <v>0.56066666666666665</v>
      </c>
      <c r="AV48" s="35">
        <v>11.906000000000001</v>
      </c>
      <c r="AW48" s="32">
        <f t="shared" si="32"/>
        <v>14.866453888795565</v>
      </c>
      <c r="AX48" s="30">
        <v>13.99</v>
      </c>
      <c r="AY48" s="34">
        <v>15.12</v>
      </c>
      <c r="AZ48" s="30">
        <f t="shared" si="33"/>
        <v>1.129999999999999</v>
      </c>
      <c r="BA48" s="30">
        <v>119</v>
      </c>
    </row>
    <row r="49" spans="1:53">
      <c r="A49" s="61" t="str">
        <f t="shared" si="26"/>
        <v>GNB Flight 1500 LiPo ($25)</v>
      </c>
      <c r="B49" s="4">
        <v>4</v>
      </c>
      <c r="C49" s="4" t="s">
        <v>77</v>
      </c>
      <c r="D49" s="4">
        <v>1500</v>
      </c>
      <c r="E49" s="4">
        <v>4</v>
      </c>
      <c r="F49" s="4" t="s">
        <v>35</v>
      </c>
      <c r="G49" s="4" t="s">
        <v>38</v>
      </c>
      <c r="H49" s="26">
        <v>25</v>
      </c>
      <c r="I49" s="4">
        <v>120</v>
      </c>
      <c r="J49" s="18">
        <f t="shared" si="25"/>
        <v>180</v>
      </c>
      <c r="K49" s="4">
        <v>180</v>
      </c>
      <c r="M49" s="4">
        <v>24</v>
      </c>
      <c r="V49" s="46">
        <f t="shared" si="27"/>
        <v>13.333333333333334</v>
      </c>
      <c r="W49" s="46">
        <v>249</v>
      </c>
      <c r="X49" s="47">
        <v>1314</v>
      </c>
      <c r="Y49" s="48">
        <f t="shared" si="35"/>
        <v>0.876</v>
      </c>
      <c r="Z49" s="49">
        <v>19.425000000000001</v>
      </c>
      <c r="AA49" s="49">
        <f t="shared" si="36"/>
        <v>9.2664092664092657</v>
      </c>
      <c r="AB49" s="47">
        <v>13.99</v>
      </c>
      <c r="AC49" s="51">
        <v>14.7</v>
      </c>
      <c r="AD49" s="47">
        <f t="shared" si="37"/>
        <v>0.70999999999999908</v>
      </c>
      <c r="AE49" s="47">
        <v>117</v>
      </c>
      <c r="AO49" s="29">
        <f t="shared" si="34"/>
        <v>40</v>
      </c>
      <c r="AP49" s="30">
        <v>60</v>
      </c>
      <c r="AQ49" s="30">
        <v>12</v>
      </c>
      <c r="AR49" s="86">
        <v>8</v>
      </c>
      <c r="AS49" s="29">
        <v>60</v>
      </c>
      <c r="AT49" s="30">
        <v>976</v>
      </c>
      <c r="AU49" s="31">
        <f t="shared" si="31"/>
        <v>0.65066666666666662</v>
      </c>
      <c r="AV49" s="35">
        <v>13.8</v>
      </c>
      <c r="AW49" s="32">
        <f t="shared" si="32"/>
        <v>13.043478260869565</v>
      </c>
      <c r="AX49" s="30">
        <v>13.99</v>
      </c>
      <c r="AY49" s="34">
        <v>15.06</v>
      </c>
      <c r="AZ49" s="30">
        <f t="shared" si="33"/>
        <v>1.0700000000000003</v>
      </c>
      <c r="BA49" s="30">
        <v>121</v>
      </c>
    </row>
    <row r="50" spans="1:53">
      <c r="A50" s="61" t="str">
        <f t="shared" si="26"/>
        <v>GNB Flight 1500 LiPo ($24)</v>
      </c>
      <c r="B50" s="4">
        <v>4</v>
      </c>
      <c r="C50" s="4" t="s">
        <v>77</v>
      </c>
      <c r="D50" s="4">
        <v>1500</v>
      </c>
      <c r="E50" s="4">
        <v>4</v>
      </c>
      <c r="F50" s="4" t="s">
        <v>35</v>
      </c>
      <c r="G50" s="4" t="s">
        <v>38</v>
      </c>
      <c r="H50" s="26">
        <v>24</v>
      </c>
      <c r="I50" s="4">
        <v>110</v>
      </c>
      <c r="J50" s="18">
        <f t="shared" si="25"/>
        <v>165</v>
      </c>
      <c r="K50" s="4">
        <v>176</v>
      </c>
      <c r="M50" s="4">
        <v>24</v>
      </c>
      <c r="V50" s="46">
        <f t="shared" si="27"/>
        <v>13.333333333333334</v>
      </c>
      <c r="W50" s="46">
        <v>254</v>
      </c>
      <c r="X50" s="47">
        <v>1341</v>
      </c>
      <c r="Y50" s="48">
        <f t="shared" si="35"/>
        <v>0.89400000000000002</v>
      </c>
      <c r="Z50" s="49">
        <v>19.776</v>
      </c>
      <c r="AA50" s="49">
        <f t="shared" si="36"/>
        <v>8.89967637540453</v>
      </c>
      <c r="AB50" s="47">
        <v>13.99</v>
      </c>
      <c r="AC50" s="51">
        <v>14.7</v>
      </c>
      <c r="AD50" s="47">
        <f t="shared" si="37"/>
        <v>0.70999999999999908</v>
      </c>
      <c r="AE50" s="47">
        <v>122</v>
      </c>
      <c r="AO50" s="29">
        <f t="shared" si="34"/>
        <v>40</v>
      </c>
      <c r="AP50" s="30">
        <v>60</v>
      </c>
      <c r="AQ50" s="30">
        <v>14</v>
      </c>
      <c r="AR50" s="86">
        <v>7</v>
      </c>
      <c r="AS50" s="29">
        <v>57</v>
      </c>
      <c r="AT50" s="30">
        <v>972</v>
      </c>
      <c r="AU50" s="31">
        <f t="shared" si="31"/>
        <v>0.64800000000000002</v>
      </c>
      <c r="AV50" s="35">
        <v>13.76</v>
      </c>
      <c r="AW50" s="32">
        <f t="shared" si="32"/>
        <v>12.790697674418604</v>
      </c>
      <c r="AX50" s="30">
        <v>13.99</v>
      </c>
      <c r="AY50" s="34">
        <v>15.06</v>
      </c>
      <c r="AZ50" s="30">
        <f t="shared" si="33"/>
        <v>1.0700000000000003</v>
      </c>
      <c r="BA50" s="30">
        <v>120</v>
      </c>
    </row>
    <row r="51" spans="1:53">
      <c r="A51" s="61" t="str">
        <f t="shared" si="26"/>
        <v>Multicopter Builders 1500 LiGr ($34)</v>
      </c>
      <c r="B51" s="4">
        <v>4</v>
      </c>
      <c r="C51" s="4" t="s">
        <v>78</v>
      </c>
      <c r="D51" s="4">
        <v>1500</v>
      </c>
      <c r="E51" s="4">
        <v>4</v>
      </c>
      <c r="F51" s="4" t="s">
        <v>61</v>
      </c>
      <c r="G51" s="4" t="s">
        <v>38</v>
      </c>
      <c r="H51" s="26">
        <v>34</v>
      </c>
      <c r="I51" s="4">
        <v>70</v>
      </c>
      <c r="J51" s="18">
        <f t="shared" si="25"/>
        <v>105</v>
      </c>
      <c r="K51" s="4">
        <v>178</v>
      </c>
      <c r="M51" s="4">
        <v>39</v>
      </c>
      <c r="V51" s="46">
        <f t="shared" si="27"/>
        <v>13.333333333333334</v>
      </c>
      <c r="W51" s="46">
        <v>253</v>
      </c>
      <c r="X51" s="47">
        <v>1330</v>
      </c>
      <c r="Y51" s="48">
        <f t="shared" si="35"/>
        <v>0.88666666666666671</v>
      </c>
      <c r="Z51" s="49">
        <v>19.550999999999998</v>
      </c>
      <c r="AA51" s="49">
        <f t="shared" si="36"/>
        <v>9.1043936371541108</v>
      </c>
      <c r="AB51" s="47">
        <v>13.99</v>
      </c>
      <c r="AC51" s="51">
        <v>14.76</v>
      </c>
      <c r="AD51" s="47">
        <f t="shared" si="37"/>
        <v>0.76999999999999957</v>
      </c>
      <c r="AE51" s="47">
        <v>122</v>
      </c>
      <c r="AO51" s="29">
        <f t="shared" si="34"/>
        <v>40</v>
      </c>
      <c r="AP51" s="30">
        <v>60</v>
      </c>
      <c r="AR51" s="86">
        <v>6</v>
      </c>
      <c r="AS51" s="29">
        <v>55</v>
      </c>
      <c r="AT51" s="30">
        <v>874</v>
      </c>
      <c r="AU51" s="31">
        <f t="shared" si="31"/>
        <v>0.58266666666666667</v>
      </c>
      <c r="AV51" s="35">
        <v>12.348000000000001</v>
      </c>
      <c r="AW51" s="32">
        <f t="shared" si="32"/>
        <v>14.415289925494006</v>
      </c>
      <c r="AX51" s="30">
        <v>13.99</v>
      </c>
      <c r="AY51" s="34">
        <v>15.12</v>
      </c>
      <c r="AZ51" s="30">
        <f t="shared" si="33"/>
        <v>1.129999999999999</v>
      </c>
      <c r="BA51" s="30">
        <v>119</v>
      </c>
    </row>
    <row r="52" spans="1:53">
      <c r="A52" s="61" t="str">
        <f t="shared" si="26"/>
        <v>Infinity 1300 LiPo ($25)</v>
      </c>
      <c r="B52" s="4">
        <v>4</v>
      </c>
      <c r="C52" s="4" t="s">
        <v>67</v>
      </c>
      <c r="D52" s="4">
        <v>1300</v>
      </c>
      <c r="E52" s="4">
        <v>4</v>
      </c>
      <c r="F52" s="4" t="s">
        <v>35</v>
      </c>
      <c r="G52" s="4" t="s">
        <v>38</v>
      </c>
      <c r="H52" s="26">
        <v>25</v>
      </c>
      <c r="I52" s="4">
        <v>90</v>
      </c>
      <c r="J52" s="18">
        <f t="shared" si="25"/>
        <v>117</v>
      </c>
      <c r="K52" s="4">
        <v>158</v>
      </c>
      <c r="M52" s="4">
        <v>27</v>
      </c>
      <c r="V52" s="46">
        <f t="shared" si="27"/>
        <v>15.384615384615383</v>
      </c>
      <c r="W52" s="46">
        <v>218</v>
      </c>
      <c r="X52" s="47">
        <v>1144</v>
      </c>
      <c r="Y52" s="48">
        <f t="shared" si="35"/>
        <v>0.88</v>
      </c>
      <c r="Z52" s="49">
        <v>16.815999999999999</v>
      </c>
      <c r="AA52" s="49">
        <f t="shared" si="36"/>
        <v>9.3958135109419612</v>
      </c>
      <c r="AB52" s="47">
        <v>13.99</v>
      </c>
      <c r="AC52" s="51">
        <v>14.7</v>
      </c>
      <c r="AD52" s="47">
        <f t="shared" si="37"/>
        <v>0.70999999999999908</v>
      </c>
      <c r="AE52" s="47">
        <v>116</v>
      </c>
      <c r="AO52" s="29">
        <f t="shared" si="34"/>
        <v>46.153846153846153</v>
      </c>
      <c r="AP52" s="30">
        <v>60</v>
      </c>
      <c r="AQ52" s="30">
        <v>15</v>
      </c>
      <c r="AR52" s="86">
        <v>6</v>
      </c>
      <c r="AS52" s="29">
        <v>44</v>
      </c>
      <c r="AT52" s="30">
        <v>809</v>
      </c>
      <c r="AU52" s="31">
        <f t="shared" si="31"/>
        <v>0.62230769230769234</v>
      </c>
      <c r="AV52" s="35">
        <v>11.416</v>
      </c>
      <c r="AW52" s="32">
        <f t="shared" si="32"/>
        <v>13.840224246671339</v>
      </c>
      <c r="AX52" s="30">
        <v>13.99</v>
      </c>
      <c r="AY52" s="34">
        <v>15</v>
      </c>
      <c r="AZ52" s="30">
        <f t="shared" si="33"/>
        <v>1.0099999999999998</v>
      </c>
      <c r="BA52" s="30">
        <v>117</v>
      </c>
    </row>
    <row r="53" spans="1:53">
      <c r="A53" s="61" t="str">
        <f t="shared" si="26"/>
        <v>MyLipo.de 1300 LiPo ($27)</v>
      </c>
      <c r="B53" s="4">
        <v>4</v>
      </c>
      <c r="C53" s="4" t="s">
        <v>74</v>
      </c>
      <c r="D53" s="4">
        <v>1300</v>
      </c>
      <c r="E53" s="4">
        <v>4</v>
      </c>
      <c r="F53" s="4" t="s">
        <v>35</v>
      </c>
      <c r="G53" s="4" t="s">
        <v>38</v>
      </c>
      <c r="H53" s="26">
        <v>27</v>
      </c>
      <c r="I53" s="4">
        <v>50</v>
      </c>
      <c r="J53" s="18">
        <f t="shared" si="25"/>
        <v>65</v>
      </c>
      <c r="K53" s="4">
        <v>141</v>
      </c>
      <c r="M53" s="4">
        <v>30</v>
      </c>
      <c r="V53" s="46">
        <f t="shared" si="27"/>
        <v>15.384615384615383</v>
      </c>
      <c r="W53" s="46">
        <v>206</v>
      </c>
      <c r="X53" s="47">
        <v>1077</v>
      </c>
      <c r="Y53" s="48">
        <f t="shared" si="35"/>
        <v>0.82846153846153847</v>
      </c>
      <c r="Z53" s="49">
        <v>15.840999999999999</v>
      </c>
      <c r="AA53" s="49">
        <f t="shared" si="36"/>
        <v>8.9009532226500863</v>
      </c>
      <c r="AB53" s="47">
        <v>13.99</v>
      </c>
      <c r="AC53" s="51">
        <v>14.64</v>
      </c>
      <c r="AD53" s="47">
        <f t="shared" si="37"/>
        <v>0.65000000000000036</v>
      </c>
      <c r="AE53" s="47">
        <v>122</v>
      </c>
      <c r="AO53" s="29">
        <f t="shared" si="34"/>
        <v>46.153846153846153</v>
      </c>
      <c r="AP53" s="30">
        <v>60</v>
      </c>
      <c r="AQ53" s="30">
        <v>13</v>
      </c>
      <c r="AR53" s="86">
        <v>5</v>
      </c>
      <c r="AS53" s="29">
        <v>45</v>
      </c>
      <c r="AT53" s="30">
        <v>713</v>
      </c>
      <c r="AU53" s="31">
        <f t="shared" si="31"/>
        <v>0.54846153846153844</v>
      </c>
      <c r="AV53" s="35">
        <v>10.071999999999999</v>
      </c>
      <c r="AW53" s="32">
        <f t="shared" si="32"/>
        <v>13.999205718824465</v>
      </c>
      <c r="AX53" s="30">
        <v>13.99</v>
      </c>
      <c r="AY53" s="34">
        <v>15.12</v>
      </c>
      <c r="AZ53" s="30">
        <f t="shared" si="33"/>
        <v>1.129999999999999</v>
      </c>
      <c r="BA53" s="30">
        <v>118</v>
      </c>
    </row>
    <row r="54" spans="1:53">
      <c r="A54" s="61" t="str">
        <f t="shared" si="26"/>
        <v>Revolectrix 435 GoPack Silver 1500 HVGr ($)</v>
      </c>
      <c r="B54" s="4">
        <v>4</v>
      </c>
      <c r="C54" s="4" t="s">
        <v>72</v>
      </c>
      <c r="D54" s="4">
        <v>1500</v>
      </c>
      <c r="E54" s="4">
        <v>4</v>
      </c>
      <c r="F54" s="4" t="s">
        <v>73</v>
      </c>
      <c r="G54" s="4" t="s">
        <v>38</v>
      </c>
      <c r="H54" s="26"/>
      <c r="I54" s="4">
        <v>70</v>
      </c>
      <c r="J54" s="18">
        <f t="shared" si="25"/>
        <v>105</v>
      </c>
      <c r="K54" s="4">
        <v>156</v>
      </c>
      <c r="M54" s="4">
        <v>27</v>
      </c>
      <c r="V54" s="46">
        <f t="shared" si="27"/>
        <v>13.333333333333334</v>
      </c>
      <c r="W54" s="46">
        <v>199</v>
      </c>
      <c r="X54" s="47">
        <v>1044</v>
      </c>
      <c r="Y54" s="48">
        <f t="shared" si="35"/>
        <v>0.69599999999999995</v>
      </c>
      <c r="Z54" s="49">
        <v>15.365</v>
      </c>
      <c r="AA54" s="49">
        <f t="shared" si="36"/>
        <v>10.152945004881223</v>
      </c>
      <c r="AB54" s="47">
        <v>13.99</v>
      </c>
      <c r="AC54" s="51">
        <v>14.76</v>
      </c>
      <c r="AD54" s="47">
        <f t="shared" si="37"/>
        <v>0.76999999999999957</v>
      </c>
      <c r="AE54" s="47">
        <v>115</v>
      </c>
      <c r="AO54" s="29">
        <f t="shared" si="34"/>
        <v>40</v>
      </c>
      <c r="AP54" s="30">
        <v>60</v>
      </c>
      <c r="AQ54" s="30">
        <v>14</v>
      </c>
      <c r="AR54" s="86">
        <v>5</v>
      </c>
      <c r="AS54" s="29">
        <v>59</v>
      </c>
      <c r="AT54" s="30">
        <v>963</v>
      </c>
      <c r="AU54" s="31">
        <f t="shared" si="31"/>
        <v>0.64200000000000002</v>
      </c>
      <c r="AV54" s="35">
        <v>13.760999999999999</v>
      </c>
      <c r="AW54" s="32">
        <f t="shared" si="32"/>
        <v>11.336385437104862</v>
      </c>
      <c r="AX54" s="30">
        <v>13.99</v>
      </c>
      <c r="AY54" s="34">
        <v>15.06</v>
      </c>
      <c r="AZ54" s="30">
        <f t="shared" si="33"/>
        <v>1.0700000000000003</v>
      </c>
      <c r="BA54" s="30">
        <v>132</v>
      </c>
    </row>
    <row r="55" spans="1:53">
      <c r="A55" s="61" t="str">
        <f t="shared" si="26"/>
        <v>ROC 1300 LiPo ($)</v>
      </c>
      <c r="B55" s="4">
        <v>4</v>
      </c>
      <c r="C55" s="4" t="s">
        <v>79</v>
      </c>
      <c r="D55" s="4">
        <v>1300</v>
      </c>
      <c r="E55" s="4">
        <v>4</v>
      </c>
      <c r="F55" s="4" t="s">
        <v>35</v>
      </c>
      <c r="G55" s="4" t="s">
        <v>38</v>
      </c>
      <c r="H55" s="26"/>
      <c r="I55" s="4">
        <v>100</v>
      </c>
      <c r="J55" s="18">
        <f t="shared" si="25"/>
        <v>130</v>
      </c>
      <c r="K55" s="4">
        <v>170</v>
      </c>
      <c r="M55" s="4">
        <v>22</v>
      </c>
      <c r="V55" s="46">
        <f t="shared" si="27"/>
        <v>15.384615384615383</v>
      </c>
      <c r="W55" s="46">
        <v>208</v>
      </c>
      <c r="X55" s="47">
        <v>1101</v>
      </c>
      <c r="Y55" s="48">
        <f t="shared" si="35"/>
        <v>0.84692307692307689</v>
      </c>
      <c r="Z55" s="49">
        <v>16.263000000000002</v>
      </c>
      <c r="AA55" s="49">
        <f t="shared" si="36"/>
        <v>10.453175920801819</v>
      </c>
      <c r="AB55" s="47">
        <v>13.99</v>
      </c>
      <c r="AC55" s="51">
        <v>14.58</v>
      </c>
      <c r="AD55" s="47">
        <f t="shared" si="37"/>
        <v>0.58999999999999986</v>
      </c>
      <c r="AE55" s="47">
        <v>112</v>
      </c>
      <c r="AO55" s="29">
        <f t="shared" si="34"/>
        <v>46.153846153846153</v>
      </c>
      <c r="AP55" s="30">
        <v>60</v>
      </c>
      <c r="AQ55" s="30">
        <v>17</v>
      </c>
      <c r="AR55" s="86">
        <v>5</v>
      </c>
      <c r="AS55" s="29">
        <v>48</v>
      </c>
      <c r="AT55" s="30">
        <v>813</v>
      </c>
      <c r="AU55" s="31">
        <f t="shared" si="31"/>
        <v>0.62538461538461543</v>
      </c>
      <c r="AV55" s="35">
        <v>11.467000000000001</v>
      </c>
      <c r="AW55" s="32">
        <f t="shared" si="32"/>
        <v>14.825150431673498</v>
      </c>
      <c r="AX55" s="30">
        <v>13.99</v>
      </c>
      <c r="AY55" s="34">
        <v>15.06</v>
      </c>
      <c r="AZ55" s="30">
        <f t="shared" si="33"/>
        <v>1.0700000000000003</v>
      </c>
      <c r="BA55" s="30">
        <v>114</v>
      </c>
    </row>
    <row r="56" spans="1:53">
      <c r="A56" s="61" t="str">
        <f t="shared" si="26"/>
        <v>RMRC Orange 1300 LiPo ($28)</v>
      </c>
      <c r="B56" s="4">
        <v>4</v>
      </c>
      <c r="C56" s="4" t="s">
        <v>68</v>
      </c>
      <c r="D56" s="4">
        <v>1300</v>
      </c>
      <c r="E56" s="4">
        <v>4</v>
      </c>
      <c r="F56" s="4" t="s">
        <v>35</v>
      </c>
      <c r="G56" s="4" t="s">
        <v>38</v>
      </c>
      <c r="H56" s="26">
        <v>28</v>
      </c>
      <c r="I56" s="4">
        <v>70</v>
      </c>
      <c r="J56" s="18">
        <f t="shared" si="25"/>
        <v>91</v>
      </c>
      <c r="K56" s="4">
        <v>155</v>
      </c>
      <c r="M56" s="4">
        <v>33</v>
      </c>
      <c r="V56" s="46">
        <f t="shared" si="27"/>
        <v>15.384615384615383</v>
      </c>
      <c r="W56" s="46">
        <v>216</v>
      </c>
      <c r="X56" s="47">
        <v>1134</v>
      </c>
      <c r="Y56" s="48">
        <f t="shared" si="35"/>
        <v>0.87230769230769234</v>
      </c>
      <c r="Z56" s="49">
        <v>16.7</v>
      </c>
      <c r="AA56" s="49">
        <f t="shared" si="36"/>
        <v>9.2814371257485035</v>
      </c>
      <c r="AB56" s="47">
        <v>13.99</v>
      </c>
      <c r="AC56" s="51">
        <v>14.7</v>
      </c>
      <c r="AD56" s="47">
        <f t="shared" si="37"/>
        <v>0.70999999999999908</v>
      </c>
      <c r="AE56" s="47">
        <v>120</v>
      </c>
      <c r="AO56" s="29">
        <f t="shared" si="34"/>
        <v>46.153846153846153</v>
      </c>
      <c r="AP56" s="30">
        <v>60</v>
      </c>
      <c r="AQ56" s="30">
        <v>16</v>
      </c>
      <c r="AR56" s="86">
        <v>5</v>
      </c>
      <c r="AS56" s="29">
        <v>49</v>
      </c>
      <c r="AT56" s="30">
        <v>790</v>
      </c>
      <c r="AU56" s="31">
        <f t="shared" si="31"/>
        <v>0.60769230769230764</v>
      </c>
      <c r="AV56" s="35">
        <v>11.180999999999999</v>
      </c>
      <c r="AW56" s="32">
        <f t="shared" si="32"/>
        <v>13.86280296932296</v>
      </c>
      <c r="AX56" s="30">
        <v>13.99</v>
      </c>
      <c r="AY56" s="34">
        <v>15.06</v>
      </c>
      <c r="AZ56" s="30">
        <f t="shared" si="33"/>
        <v>1.0700000000000003</v>
      </c>
      <c r="BA56" s="30">
        <v>121</v>
      </c>
    </row>
    <row r="57" spans="1:53">
      <c r="A57" s="4" t="str">
        <f t="shared" si="26"/>
        <v>GNB Flight 1300 LiPo ($22)</v>
      </c>
      <c r="B57" s="4">
        <v>4</v>
      </c>
      <c r="C57" s="4" t="s">
        <v>77</v>
      </c>
      <c r="D57" s="4">
        <v>1300</v>
      </c>
      <c r="E57" s="4">
        <v>4</v>
      </c>
      <c r="F57" s="4" t="s">
        <v>35</v>
      </c>
      <c r="G57" s="4" t="s">
        <v>38</v>
      </c>
      <c r="H57" s="26">
        <v>22</v>
      </c>
      <c r="I57" s="4">
        <v>110</v>
      </c>
      <c r="J57" s="18">
        <f t="shared" si="25"/>
        <v>143</v>
      </c>
      <c r="K57" s="4">
        <v>160</v>
      </c>
      <c r="M57" s="4">
        <v>31</v>
      </c>
      <c r="V57" s="46">
        <f t="shared" si="27"/>
        <v>15.384615384615383</v>
      </c>
      <c r="W57" s="46">
        <f>180+39</f>
        <v>219</v>
      </c>
      <c r="X57" s="47">
        <v>1157</v>
      </c>
      <c r="Y57" s="48">
        <f t="shared" si="35"/>
        <v>0.89</v>
      </c>
      <c r="Z57" s="49">
        <v>16.966999999999999</v>
      </c>
      <c r="AA57" s="49">
        <f t="shared" si="36"/>
        <v>9.4300701361466377</v>
      </c>
      <c r="AB57" s="47">
        <v>13.99</v>
      </c>
      <c r="AC57" s="51">
        <v>14.7</v>
      </c>
      <c r="AD57" s="47">
        <f t="shared" si="37"/>
        <v>0.70999999999999908</v>
      </c>
      <c r="AE57" s="47">
        <v>120</v>
      </c>
      <c r="AO57" s="29">
        <f t="shared" si="34"/>
        <v>46.153846153846153</v>
      </c>
      <c r="AP57" s="30">
        <v>60</v>
      </c>
      <c r="AQ57" s="30">
        <v>15</v>
      </c>
      <c r="AR57" s="86">
        <v>5</v>
      </c>
      <c r="AS57" s="29">
        <v>51</v>
      </c>
      <c r="AT57" s="30">
        <v>759</v>
      </c>
      <c r="AU57" s="31">
        <f t="shared" si="31"/>
        <v>0.58384615384615379</v>
      </c>
      <c r="AV57" s="35">
        <v>10.726000000000001</v>
      </c>
      <c r="AW57" s="32">
        <f t="shared" si="32"/>
        <v>14.917024053701285</v>
      </c>
      <c r="AX57" s="30">
        <v>13.99</v>
      </c>
      <c r="AY57" s="34">
        <v>15.12</v>
      </c>
      <c r="AZ57" s="30">
        <f t="shared" si="33"/>
        <v>1.129999999999999</v>
      </c>
      <c r="BA57" s="30">
        <v>120</v>
      </c>
    </row>
    <row r="58" spans="1:53">
      <c r="A58" s="4" t="str">
        <f t="shared" si="26"/>
        <v>MaxAmps 1800 LiPo ($70)</v>
      </c>
      <c r="B58" s="4">
        <v>4</v>
      </c>
      <c r="C58" s="4" t="s">
        <v>80</v>
      </c>
      <c r="D58" s="4">
        <v>1800</v>
      </c>
      <c r="E58" s="4">
        <v>4</v>
      </c>
      <c r="F58" s="4" t="s">
        <v>35</v>
      </c>
      <c r="G58" s="4" t="s">
        <v>38</v>
      </c>
      <c r="H58" s="26">
        <v>70</v>
      </c>
      <c r="I58" s="4">
        <v>100</v>
      </c>
      <c r="J58" s="18">
        <f t="shared" si="25"/>
        <v>180</v>
      </c>
      <c r="K58" s="4">
        <v>171</v>
      </c>
      <c r="M58" s="4">
        <v>48</v>
      </c>
      <c r="V58" s="46">
        <f t="shared" si="27"/>
        <v>11.111111111111111</v>
      </c>
      <c r="W58" s="46">
        <v>288</v>
      </c>
      <c r="X58" s="47">
        <v>1507</v>
      </c>
      <c r="Y58" s="48">
        <f t="shared" si="35"/>
        <v>0.8372222222222222</v>
      </c>
      <c r="Z58" s="49">
        <v>21.952000000000002</v>
      </c>
      <c r="AA58" s="49">
        <f t="shared" si="36"/>
        <v>7.7897230320699702</v>
      </c>
      <c r="AB58" s="47">
        <v>13.99</v>
      </c>
      <c r="AC58" s="51">
        <v>14.7</v>
      </c>
      <c r="AD58" s="47">
        <f t="shared" si="37"/>
        <v>0.70999999999999908</v>
      </c>
      <c r="AE58" s="47">
        <v>135</v>
      </c>
      <c r="AO58" s="29">
        <f t="shared" si="34"/>
        <v>33.333333333333336</v>
      </c>
      <c r="AP58" s="30">
        <v>60</v>
      </c>
      <c r="AW58" s="32"/>
    </row>
    <row r="59" spans="1:53">
      <c r="A59" s="4" t="str">
        <f t="shared" si="26"/>
        <v>Revolectrix 1550 LiGr ($40)</v>
      </c>
      <c r="B59" s="4">
        <v>5</v>
      </c>
      <c r="C59" s="4" t="s">
        <v>58</v>
      </c>
      <c r="D59" s="4">
        <v>1550</v>
      </c>
      <c r="E59" s="4">
        <v>4</v>
      </c>
      <c r="F59" s="4" t="s">
        <v>61</v>
      </c>
      <c r="G59" s="4" t="s">
        <v>38</v>
      </c>
      <c r="H59" s="17">
        <v>40</v>
      </c>
      <c r="I59" s="4">
        <v>70</v>
      </c>
      <c r="J59" s="18">
        <f t="shared" si="25"/>
        <v>108.5</v>
      </c>
      <c r="AO59" s="29">
        <f t="shared" si="34"/>
        <v>38.70967741935484</v>
      </c>
      <c r="AP59" s="30">
        <v>60</v>
      </c>
      <c r="AQ59" s="30">
        <v>15</v>
      </c>
      <c r="AR59" s="86">
        <v>20</v>
      </c>
      <c r="AS59" s="29">
        <v>64</v>
      </c>
      <c r="AT59" s="30">
        <v>972</v>
      </c>
      <c r="AU59" s="31">
        <f t="shared" ref="AU59:AU68" si="38">AT59/D59</f>
        <v>0.62709677419354837</v>
      </c>
      <c r="AV59" s="35">
        <v>13.894</v>
      </c>
      <c r="AX59" s="30">
        <v>13.99</v>
      </c>
      <c r="AY59" s="34">
        <v>15.06</v>
      </c>
      <c r="AZ59" s="30">
        <f t="shared" ref="AZ59:AZ68" si="39">AY59-AX59</f>
        <v>1.0700000000000003</v>
      </c>
      <c r="BA59" s="30">
        <v>110</v>
      </c>
    </row>
    <row r="60" spans="1:53">
      <c r="A60" s="4" t="str">
        <f t="shared" si="26"/>
        <v>Revolectrix 1300 LiGr ($40)</v>
      </c>
      <c r="B60" s="4">
        <v>5</v>
      </c>
      <c r="C60" s="4" t="s">
        <v>58</v>
      </c>
      <c r="D60" s="4">
        <v>1300</v>
      </c>
      <c r="E60" s="4">
        <v>4</v>
      </c>
      <c r="F60" s="4" t="s">
        <v>61</v>
      </c>
      <c r="G60" s="4" t="s">
        <v>38</v>
      </c>
      <c r="H60" s="17">
        <v>40</v>
      </c>
      <c r="I60" s="4">
        <v>70</v>
      </c>
      <c r="J60" s="4">
        <f t="shared" si="25"/>
        <v>91</v>
      </c>
      <c r="AO60" s="29">
        <f t="shared" si="34"/>
        <v>46.153846153846153</v>
      </c>
      <c r="AP60" s="30">
        <v>60</v>
      </c>
      <c r="AQ60" s="30">
        <v>20</v>
      </c>
      <c r="AR60" s="86">
        <v>5</v>
      </c>
      <c r="AS60" s="29">
        <v>45</v>
      </c>
      <c r="AT60" s="30">
        <v>711</v>
      </c>
      <c r="AU60" s="31">
        <f t="shared" si="38"/>
        <v>0.54692307692307696</v>
      </c>
      <c r="AV60" s="35">
        <v>10.043900000000001</v>
      </c>
      <c r="AX60" s="30">
        <v>13.99</v>
      </c>
      <c r="AY60" s="34">
        <v>14.94</v>
      </c>
      <c r="AZ60" s="30">
        <f t="shared" si="39"/>
        <v>0.94999999999999929</v>
      </c>
      <c r="BA60" s="30">
        <v>116</v>
      </c>
    </row>
    <row r="61" spans="1:53">
      <c r="A61" s="4" t="str">
        <f t="shared" si="26"/>
        <v>Mad Dog 1300 LiGr ($35)</v>
      </c>
      <c r="B61" s="4">
        <v>5</v>
      </c>
      <c r="C61" s="4" t="s">
        <v>41</v>
      </c>
      <c r="D61" s="4">
        <v>1300</v>
      </c>
      <c r="E61" s="4">
        <v>4</v>
      </c>
      <c r="F61" s="4" t="s">
        <v>61</v>
      </c>
      <c r="G61" s="4" t="s">
        <v>38</v>
      </c>
      <c r="H61" s="17">
        <v>35</v>
      </c>
      <c r="I61" s="4">
        <v>80</v>
      </c>
      <c r="J61" s="4">
        <f t="shared" si="25"/>
        <v>104</v>
      </c>
      <c r="AO61" s="29">
        <f t="shared" si="34"/>
        <v>46.153846153846153</v>
      </c>
      <c r="AP61" s="30">
        <v>60</v>
      </c>
      <c r="AQ61" s="30">
        <v>10</v>
      </c>
      <c r="AR61" s="86">
        <v>10</v>
      </c>
      <c r="AS61" s="29">
        <v>58</v>
      </c>
      <c r="AT61" s="30">
        <v>890</v>
      </c>
      <c r="AU61" s="31">
        <f t="shared" si="38"/>
        <v>0.68461538461538463</v>
      </c>
      <c r="AV61" s="35">
        <v>12.664</v>
      </c>
      <c r="AX61" s="30">
        <v>13.99</v>
      </c>
      <c r="AY61" s="34">
        <v>15.06</v>
      </c>
      <c r="AZ61" s="30">
        <f t="shared" si="39"/>
        <v>1.0700000000000003</v>
      </c>
      <c r="BA61" s="30">
        <v>113</v>
      </c>
    </row>
    <row r="62" spans="1:53">
      <c r="A62" s="4" t="str">
        <f t="shared" si="26"/>
        <v>Thunderpower Adrenaline 1300 LiPo ($35)</v>
      </c>
      <c r="B62" s="4">
        <v>5</v>
      </c>
      <c r="C62" s="4" t="s">
        <v>81</v>
      </c>
      <c r="D62" s="4">
        <v>1300</v>
      </c>
      <c r="E62" s="4">
        <v>4</v>
      </c>
      <c r="F62" s="4" t="s">
        <v>35</v>
      </c>
      <c r="G62" s="4" t="s">
        <v>38</v>
      </c>
      <c r="H62" s="17">
        <v>35</v>
      </c>
      <c r="I62" s="4">
        <v>80</v>
      </c>
      <c r="J62" s="4">
        <f t="shared" si="25"/>
        <v>104</v>
      </c>
      <c r="AO62" s="29">
        <f t="shared" si="34"/>
        <v>46.153846153846153</v>
      </c>
      <c r="AP62" s="30">
        <v>60</v>
      </c>
      <c r="AQ62" s="30">
        <v>7</v>
      </c>
      <c r="AR62" s="86">
        <v>26</v>
      </c>
      <c r="AS62" s="29">
        <v>55</v>
      </c>
      <c r="AT62" s="30">
        <v>835</v>
      </c>
      <c r="AU62" s="31">
        <f t="shared" si="38"/>
        <v>0.64230769230769236</v>
      </c>
      <c r="AV62" s="35">
        <v>11.872999999999999</v>
      </c>
      <c r="AX62" s="30">
        <v>13.99</v>
      </c>
      <c r="AY62" s="34">
        <v>15.06</v>
      </c>
      <c r="AZ62" s="30">
        <f t="shared" si="39"/>
        <v>1.0700000000000003</v>
      </c>
      <c r="BA62" s="30">
        <v>121</v>
      </c>
    </row>
    <row r="63" spans="1:53">
      <c r="A63" s="4" t="str">
        <f t="shared" si="26"/>
        <v>Thunderpower Adrenaline 1600 LiPo ($40)</v>
      </c>
      <c r="B63" s="4">
        <v>5</v>
      </c>
      <c r="C63" s="4" t="s">
        <v>81</v>
      </c>
      <c r="D63" s="4">
        <v>1600</v>
      </c>
      <c r="E63" s="4">
        <v>4</v>
      </c>
      <c r="F63" s="4" t="s">
        <v>35</v>
      </c>
      <c r="G63" s="4" t="s">
        <v>38</v>
      </c>
      <c r="H63" s="17">
        <v>40</v>
      </c>
      <c r="I63" s="4">
        <v>80</v>
      </c>
      <c r="J63" s="4">
        <f t="shared" si="25"/>
        <v>128</v>
      </c>
      <c r="AO63" s="29">
        <f t="shared" si="34"/>
        <v>37.5</v>
      </c>
      <c r="AP63" s="30">
        <v>60</v>
      </c>
      <c r="AQ63" s="30">
        <v>5</v>
      </c>
      <c r="AR63" s="86">
        <v>43</v>
      </c>
      <c r="AS63" s="29">
        <v>69</v>
      </c>
      <c r="AT63" s="30">
        <v>1071</v>
      </c>
      <c r="AU63" s="31">
        <f t="shared" si="38"/>
        <v>0.66937500000000005</v>
      </c>
      <c r="AV63" s="35">
        <v>15.271000000000001</v>
      </c>
      <c r="AX63" s="30">
        <v>13.99</v>
      </c>
      <c r="AY63" s="34">
        <v>15</v>
      </c>
      <c r="AZ63" s="30">
        <f t="shared" si="39"/>
        <v>1.0099999999999998</v>
      </c>
      <c r="BA63" s="30">
        <v>123</v>
      </c>
    </row>
    <row r="64" spans="1:53">
      <c r="A64" s="4" t="str">
        <f t="shared" si="26"/>
        <v>Dinogy 1300 LiGr ($35)</v>
      </c>
      <c r="B64" s="4">
        <v>5</v>
      </c>
      <c r="C64" s="4" t="s">
        <v>56</v>
      </c>
      <c r="D64" s="4">
        <v>1300</v>
      </c>
      <c r="E64" s="4">
        <v>4</v>
      </c>
      <c r="F64" s="4" t="s">
        <v>61</v>
      </c>
      <c r="G64" s="4" t="s">
        <v>38</v>
      </c>
      <c r="H64" s="17">
        <v>35</v>
      </c>
      <c r="I64" s="4">
        <v>80</v>
      </c>
      <c r="J64" s="4">
        <f t="shared" si="25"/>
        <v>104</v>
      </c>
      <c r="AO64" s="29">
        <f t="shared" si="34"/>
        <v>46.153846153846153</v>
      </c>
      <c r="AP64" s="30">
        <v>60</v>
      </c>
      <c r="AQ64" s="30">
        <v>11</v>
      </c>
      <c r="AR64" s="86">
        <v>8</v>
      </c>
      <c r="AS64" s="29">
        <v>59</v>
      </c>
      <c r="AT64" s="30">
        <v>879</v>
      </c>
      <c r="AU64" s="31">
        <f t="shared" si="38"/>
        <v>0.67615384615384611</v>
      </c>
      <c r="AV64" s="35">
        <v>12.49</v>
      </c>
      <c r="AX64" s="30">
        <v>13.99</v>
      </c>
      <c r="AY64" s="34">
        <v>15.06</v>
      </c>
      <c r="AZ64" s="30">
        <f t="shared" si="39"/>
        <v>1.0700000000000003</v>
      </c>
      <c r="BA64" s="30">
        <v>120</v>
      </c>
    </row>
    <row r="65" spans="1:53">
      <c r="A65" s="4" t="str">
        <f t="shared" si="26"/>
        <v>Dinogy 1500 LiGr ($40)</v>
      </c>
      <c r="B65" s="4">
        <v>5</v>
      </c>
      <c r="C65" s="4" t="s">
        <v>56</v>
      </c>
      <c r="D65" s="4">
        <v>1500</v>
      </c>
      <c r="E65" s="4">
        <v>4</v>
      </c>
      <c r="F65" s="4" t="s">
        <v>61</v>
      </c>
      <c r="G65" s="4" t="s">
        <v>38</v>
      </c>
      <c r="H65" s="17">
        <v>40</v>
      </c>
      <c r="I65" s="4">
        <v>80</v>
      </c>
      <c r="J65" s="4">
        <f t="shared" si="25"/>
        <v>120</v>
      </c>
      <c r="AO65" s="29">
        <f t="shared" si="34"/>
        <v>40</v>
      </c>
      <c r="AP65" s="30">
        <v>60</v>
      </c>
      <c r="AQ65" s="30">
        <v>3</v>
      </c>
      <c r="AR65" s="86">
        <v>59</v>
      </c>
      <c r="AS65" s="29">
        <v>72</v>
      </c>
      <c r="AT65" s="30">
        <v>1077</v>
      </c>
      <c r="AU65" s="31">
        <f t="shared" si="38"/>
        <v>0.71799999999999997</v>
      </c>
      <c r="AV65" s="35">
        <v>15.375999999999999</v>
      </c>
      <c r="AX65" s="30">
        <v>13.99</v>
      </c>
      <c r="AY65" s="34">
        <v>15.06</v>
      </c>
      <c r="AZ65" s="30">
        <f t="shared" si="39"/>
        <v>1.0700000000000003</v>
      </c>
      <c r="BA65" s="30">
        <v>120</v>
      </c>
    </row>
    <row r="66" spans="1:53">
      <c r="A66" s="4" t="str">
        <f t="shared" si="26"/>
        <v>Dinogy 1500 LiGr ($35)</v>
      </c>
      <c r="B66" s="4">
        <v>5</v>
      </c>
      <c r="C66" s="4" t="s">
        <v>56</v>
      </c>
      <c r="D66" s="4">
        <v>1500</v>
      </c>
      <c r="E66" s="4">
        <v>4</v>
      </c>
      <c r="F66" s="4" t="s">
        <v>61</v>
      </c>
      <c r="G66" s="4" t="s">
        <v>38</v>
      </c>
      <c r="H66" s="17">
        <v>35</v>
      </c>
      <c r="I66" s="4">
        <v>70</v>
      </c>
      <c r="J66" s="4">
        <f t="shared" si="25"/>
        <v>105</v>
      </c>
      <c r="AO66" s="29">
        <f t="shared" si="34"/>
        <v>40</v>
      </c>
      <c r="AP66" s="30">
        <v>60</v>
      </c>
      <c r="AQ66" s="30">
        <v>15</v>
      </c>
      <c r="AR66" s="86">
        <v>5</v>
      </c>
      <c r="AS66" s="29">
        <v>57</v>
      </c>
      <c r="AT66" s="30">
        <v>895</v>
      </c>
      <c r="AU66" s="31">
        <f t="shared" si="38"/>
        <v>0.59666666666666668</v>
      </c>
      <c r="AV66" s="35">
        <v>12.651999999999999</v>
      </c>
      <c r="AX66" s="30">
        <v>13.99</v>
      </c>
      <c r="AY66" s="34">
        <v>15.18</v>
      </c>
      <c r="AZ66" s="30">
        <f t="shared" si="39"/>
        <v>1.1899999999999995</v>
      </c>
      <c r="BA66" s="30">
        <v>117</v>
      </c>
    </row>
    <row r="67" spans="1:53">
      <c r="A67" s="4" t="str">
        <f t="shared" si="26"/>
        <v>TruePower 1350 LiPo ($35)</v>
      </c>
      <c r="B67" s="4">
        <v>5</v>
      </c>
      <c r="C67" s="4" t="s">
        <v>82</v>
      </c>
      <c r="D67" s="4">
        <v>1350</v>
      </c>
      <c r="E67" s="4">
        <v>4</v>
      </c>
      <c r="F67" s="4" t="s">
        <v>35</v>
      </c>
      <c r="G67" s="4" t="s">
        <v>38</v>
      </c>
      <c r="H67" s="17">
        <v>35</v>
      </c>
      <c r="I67" s="4">
        <v>70</v>
      </c>
      <c r="J67" s="4">
        <f t="shared" si="25"/>
        <v>94.5</v>
      </c>
      <c r="AO67" s="29">
        <f t="shared" si="34"/>
        <v>44.444444444444443</v>
      </c>
      <c r="AP67" s="30">
        <v>60</v>
      </c>
      <c r="AQ67" s="30">
        <v>6</v>
      </c>
      <c r="AR67" s="86">
        <v>22</v>
      </c>
      <c r="AS67" s="29">
        <v>55</v>
      </c>
      <c r="AT67" s="30">
        <v>820</v>
      </c>
      <c r="AU67" s="31">
        <f t="shared" si="38"/>
        <v>0.6074074074074074</v>
      </c>
      <c r="AV67" s="35">
        <v>11.641</v>
      </c>
      <c r="AX67" s="30">
        <v>13.99</v>
      </c>
      <c r="AY67" s="34">
        <v>15.06</v>
      </c>
      <c r="AZ67" s="30">
        <f t="shared" si="39"/>
        <v>1.0700000000000003</v>
      </c>
      <c r="BA67" s="30">
        <v>114</v>
      </c>
    </row>
    <row r="68" spans="1:53">
      <c r="A68" s="4" t="str">
        <f t="shared" si="26"/>
        <v>TruePower 1600 LiPo ($40)</v>
      </c>
      <c r="B68" s="4">
        <v>5</v>
      </c>
      <c r="C68" s="4" t="s">
        <v>82</v>
      </c>
      <c r="D68" s="4">
        <v>1600</v>
      </c>
      <c r="E68" s="4">
        <v>4</v>
      </c>
      <c r="F68" s="4" t="s">
        <v>35</v>
      </c>
      <c r="G68" s="4" t="s">
        <v>38</v>
      </c>
      <c r="H68" s="17">
        <v>40</v>
      </c>
      <c r="I68" s="4">
        <v>70</v>
      </c>
      <c r="J68" s="4">
        <f t="shared" si="25"/>
        <v>112</v>
      </c>
      <c r="AO68" s="29">
        <f t="shared" si="34"/>
        <v>37.5</v>
      </c>
      <c r="AP68" s="30">
        <v>60</v>
      </c>
      <c r="AQ68" s="30">
        <v>2</v>
      </c>
      <c r="AR68" s="86">
        <v>60</v>
      </c>
      <c r="AS68" s="29">
        <v>68</v>
      </c>
      <c r="AT68" s="30">
        <v>1036</v>
      </c>
      <c r="AU68" s="31">
        <f t="shared" si="38"/>
        <v>0.64749999999999996</v>
      </c>
      <c r="AV68" s="35">
        <v>14.771000000000001</v>
      </c>
      <c r="AX68" s="30">
        <v>13.99</v>
      </c>
      <c r="AY68" s="34">
        <v>15</v>
      </c>
      <c r="AZ68" s="30">
        <f t="shared" si="39"/>
        <v>1.0099999999999998</v>
      </c>
      <c r="BA68" s="30">
        <v>120</v>
      </c>
    </row>
  </sheetData>
  <autoFilter ref="A2:BA58" xr:uid="{00000000-0009-0000-0000-000000000000}">
    <sortState ref="A36:BA58">
      <sortCondition descending="1" ref="AR3:AR58"/>
    </sortState>
  </autoFilter>
  <sortState ref="C23:M32">
    <sortCondition ref="K20:K32"/>
  </sortState>
  <mergeCells count="4">
    <mergeCell ref="AO1:BA1"/>
    <mergeCell ref="N1:U1"/>
    <mergeCell ref="V1:AE1"/>
    <mergeCell ref="AF1:AN1"/>
  </mergeCells>
  <pageMargins left="0.7" right="0.7" top="0.75" bottom="0.75" header="0.3" footer="0.3"/>
  <pageSetup orientation="portrait" horizontalDpi="1200" verticalDpi="1200" r:id="rId1"/>
  <ignoredErrors>
    <ignoredError sqref="AW10 W18 W28 M14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4"/>
  <sheetViews>
    <sheetView workbookViewId="0" xr3:uid="{958C4451-9541-5A59-BF78-D2F731DF1C81}">
      <selection activeCell="A28" sqref="A16:A28"/>
    </sheetView>
  </sheetViews>
  <sheetFormatPr defaultRowHeight="15"/>
  <cols>
    <col min="1" max="1" width="14.42578125" customWidth="1"/>
  </cols>
  <sheetData>
    <row r="1" spans="1:1">
      <c r="A1" t="s">
        <v>28</v>
      </c>
    </row>
    <row r="2" spans="1:1">
      <c r="A2">
        <v>65</v>
      </c>
    </row>
    <row r="3" spans="1:1">
      <c r="A3">
        <v>49</v>
      </c>
    </row>
    <row r="4" spans="1:1">
      <c r="A4">
        <v>25</v>
      </c>
    </row>
    <row r="5" spans="1:1">
      <c r="A5">
        <v>20</v>
      </c>
    </row>
    <row r="6" spans="1:1">
      <c r="A6">
        <v>5</v>
      </c>
    </row>
    <row r="7" spans="1:1">
      <c r="A7">
        <v>5</v>
      </c>
    </row>
    <row r="8" spans="1:1">
      <c r="A8">
        <v>8</v>
      </c>
    </row>
    <row r="9" spans="1:1">
      <c r="A9">
        <v>4</v>
      </c>
    </row>
    <row r="10" spans="1:1">
      <c r="A10">
        <v>5</v>
      </c>
    </row>
    <row r="11" spans="1:1">
      <c r="A11">
        <v>24</v>
      </c>
    </row>
    <row r="12" spans="1:1">
      <c r="A12">
        <v>5</v>
      </c>
    </row>
    <row r="13" spans="1:1">
      <c r="A13">
        <v>6</v>
      </c>
    </row>
    <row r="14" spans="1:1">
      <c r="A14">
        <v>17</v>
      </c>
    </row>
    <row r="15" spans="1:1">
      <c r="A15">
        <v>10</v>
      </c>
    </row>
    <row r="16" spans="1:1">
      <c r="A16">
        <v>6</v>
      </c>
    </row>
    <row r="17" spans="1:1">
      <c r="A17">
        <v>7</v>
      </c>
    </row>
    <row r="18" spans="1:1">
      <c r="A18">
        <v>9</v>
      </c>
    </row>
    <row r="19" spans="1:1">
      <c r="A19">
        <v>86</v>
      </c>
    </row>
    <row r="20" spans="1:1">
      <c r="A20">
        <v>51</v>
      </c>
    </row>
    <row r="21" spans="1:1">
      <c r="A21">
        <v>44</v>
      </c>
    </row>
    <row r="22" spans="1:1">
      <c r="A22">
        <v>74</v>
      </c>
    </row>
    <row r="23" spans="1:1">
      <c r="A23">
        <v>8</v>
      </c>
    </row>
    <row r="24" spans="1:1">
      <c r="A24">
        <v>6</v>
      </c>
    </row>
    <row r="25" spans="1:1">
      <c r="A25">
        <v>6</v>
      </c>
    </row>
    <row r="26" spans="1:1">
      <c r="A26">
        <v>9</v>
      </c>
    </row>
    <row r="27" spans="1:1">
      <c r="A27">
        <v>28</v>
      </c>
    </row>
    <row r="28" spans="1:1">
      <c r="A28">
        <v>6</v>
      </c>
    </row>
    <row r="29" spans="1:1">
      <c r="A29">
        <v>4</v>
      </c>
    </row>
    <row r="30" spans="1:1">
      <c r="A30">
        <v>62</v>
      </c>
    </row>
    <row r="31" spans="1:1">
      <c r="A31">
        <v>9</v>
      </c>
    </row>
    <row r="32" spans="1:1">
      <c r="A32">
        <v>70</v>
      </c>
    </row>
    <row r="33" spans="1:1">
      <c r="A33">
        <v>8</v>
      </c>
    </row>
    <row r="34" spans="1:1">
      <c r="A34">
        <v>43</v>
      </c>
    </row>
    <row r="35" spans="1:1">
      <c r="A35">
        <v>45</v>
      </c>
    </row>
    <row r="36" spans="1:1">
      <c r="A36">
        <v>9</v>
      </c>
    </row>
    <row r="37" spans="1:1">
      <c r="A37">
        <v>5</v>
      </c>
    </row>
    <row r="38" spans="1:1">
      <c r="A38">
        <v>36</v>
      </c>
    </row>
    <row r="39" spans="1:1">
      <c r="A39">
        <v>72</v>
      </c>
    </row>
    <row r="40" spans="1:1">
      <c r="A40">
        <v>13</v>
      </c>
    </row>
    <row r="41" spans="1:1">
      <c r="A41">
        <v>8</v>
      </c>
    </row>
    <row r="42" spans="1:1">
      <c r="A42">
        <v>22</v>
      </c>
    </row>
    <row r="43" spans="1:1">
      <c r="A43">
        <v>6</v>
      </c>
    </row>
    <row r="44" spans="1:1">
      <c r="A44">
        <v>14</v>
      </c>
    </row>
    <row r="45" spans="1:1">
      <c r="A45">
        <v>5</v>
      </c>
    </row>
    <row r="46" spans="1:1">
      <c r="A46">
        <v>55</v>
      </c>
    </row>
    <row r="47" spans="1:1">
      <c r="A47">
        <v>5</v>
      </c>
    </row>
    <row r="48" spans="1:1">
      <c r="A48">
        <v>5</v>
      </c>
    </row>
    <row r="49" spans="1:1">
      <c r="A49">
        <v>6</v>
      </c>
    </row>
    <row r="50" spans="1:1">
      <c r="A50">
        <v>7</v>
      </c>
    </row>
    <row r="51" spans="1:1">
      <c r="A51">
        <v>8</v>
      </c>
    </row>
    <row r="52" spans="1:1">
      <c r="A52">
        <v>5</v>
      </c>
    </row>
    <row r="53" spans="1:1">
      <c r="A53">
        <v>14</v>
      </c>
    </row>
    <row r="54" spans="1:1">
      <c r="A54">
        <v>13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1"/>
  <sheetViews>
    <sheetView workbookViewId="0" xr3:uid="{842E5F09-E766-5B8D-85AF-A39847EA96FD}">
      <selection activeCell="O11" sqref="O11"/>
    </sheetView>
  </sheetViews>
  <sheetFormatPr defaultRowHeight="15"/>
  <cols>
    <col min="1" max="1" width="8.85546875" style="98"/>
  </cols>
  <sheetData>
    <row r="1" spans="1:1">
      <c r="A1" s="98" t="s">
        <v>24</v>
      </c>
    </row>
    <row r="2" spans="1:1">
      <c r="A2" s="98">
        <v>0.89461538461538459</v>
      </c>
    </row>
    <row r="3" spans="1:1">
      <c r="A3" s="98">
        <v>0.90384615384615385</v>
      </c>
    </row>
    <row r="4" spans="1:1">
      <c r="A4" s="98">
        <v>0.87357142857142855</v>
      </c>
    </row>
    <row r="5" spans="1:1">
      <c r="A5" s="98">
        <v>0.8438461538461538</v>
      </c>
    </row>
    <row r="6" spans="1:1">
      <c r="A6" s="98">
        <v>0.8569230769230769</v>
      </c>
    </row>
    <row r="7" spans="1:1">
      <c r="A7" s="98">
        <v>0.82272727272727275</v>
      </c>
    </row>
    <row r="8" spans="1:1">
      <c r="A8" s="98">
        <v>0.81692307692307697</v>
      </c>
    </row>
    <row r="9" spans="1:1">
      <c r="A9" s="98">
        <v>0.9</v>
      </c>
    </row>
    <row r="10" spans="1:1">
      <c r="A10" s="98">
        <v>0.81866666666666665</v>
      </c>
    </row>
    <row r="11" spans="1:1">
      <c r="A11" s="98">
        <v>0.89538461538461533</v>
      </c>
    </row>
    <row r="12" spans="1:1">
      <c r="A12" s="98">
        <v>0.80687500000000001</v>
      </c>
    </row>
    <row r="13" spans="1:1">
      <c r="A13" s="98">
        <v>0.87769230769230766</v>
      </c>
    </row>
    <row r="14" spans="1:1">
      <c r="A14" s="98">
        <v>0.83846153846153848</v>
      </c>
    </row>
    <row r="15" spans="1:1">
      <c r="A15" s="98">
        <v>0.84769230769230774</v>
      </c>
    </row>
    <row r="16" spans="1:1">
      <c r="A16" s="98">
        <v>0.90066666666666662</v>
      </c>
    </row>
    <row r="17" spans="1:5">
      <c r="A17" s="98">
        <v>0.83076923076923082</v>
      </c>
    </row>
    <row r="18" spans="1:5">
      <c r="A18" s="98">
        <v>0.89222222222222225</v>
      </c>
    </row>
    <row r="19" spans="1:5">
      <c r="A19" s="98">
        <v>0.9276923076923077</v>
      </c>
    </row>
    <row r="20" spans="1:5">
      <c r="A20" s="98">
        <v>0.8342857142857143</v>
      </c>
    </row>
    <row r="21" spans="1:5">
      <c r="A21" s="98">
        <v>0.86076923076923073</v>
      </c>
    </row>
    <row r="22" spans="1:5">
      <c r="A22" s="98">
        <v>0.85923076923076924</v>
      </c>
    </row>
    <row r="23" spans="1:5">
      <c r="A23" s="98">
        <v>0.87692307692307692</v>
      </c>
    </row>
    <row r="24" spans="1:5">
      <c r="A24" s="98">
        <v>0.85307692307692307</v>
      </c>
    </row>
    <row r="25" spans="1:5">
      <c r="A25" s="98">
        <v>0.86799999999999999</v>
      </c>
      <c r="E25" s="94"/>
    </row>
    <row r="26" spans="1:5">
      <c r="A26" s="98">
        <v>0.88615384615384618</v>
      </c>
      <c r="E26" s="94"/>
    </row>
    <row r="27" spans="1:5">
      <c r="A27" s="98">
        <v>0.85399999999999998</v>
      </c>
      <c r="E27" s="94"/>
    </row>
    <row r="28" spans="1:5">
      <c r="A28" s="98">
        <v>0.82277777777777783</v>
      </c>
      <c r="E28" s="94"/>
    </row>
    <row r="29" spans="1:5">
      <c r="A29" s="98">
        <v>0.83066666666666666</v>
      </c>
      <c r="E29" s="94"/>
    </row>
    <row r="30" spans="1:5">
      <c r="A30" s="98">
        <v>0.94599999999999995</v>
      </c>
      <c r="E30" s="94"/>
    </row>
    <row r="31" spans="1:5">
      <c r="A31" s="98">
        <v>0.96</v>
      </c>
      <c r="E31" s="94"/>
    </row>
    <row r="32" spans="1:5">
      <c r="A32" s="98">
        <v>0.94266666666666665</v>
      </c>
      <c r="E32" s="94"/>
    </row>
    <row r="33" spans="1:1">
      <c r="A33" s="98">
        <v>0.93333333333333335</v>
      </c>
    </row>
    <row r="34" spans="1:1">
      <c r="A34" s="98">
        <v>0.91461538461538461</v>
      </c>
    </row>
    <row r="35" spans="1:1">
      <c r="A35" s="98">
        <v>0.82846153846153847</v>
      </c>
    </row>
    <row r="36" spans="1:1">
      <c r="A36" s="98">
        <v>0.8107692307692308</v>
      </c>
    </row>
    <row r="37" spans="1:1">
      <c r="A37" s="98">
        <v>0.84687500000000004</v>
      </c>
    </row>
    <row r="38" spans="1:1">
      <c r="A38" s="98">
        <v>0.85062499999999996</v>
      </c>
    </row>
    <row r="39" spans="1:1">
      <c r="A39" s="98">
        <v>0.82266666666666666</v>
      </c>
    </row>
    <row r="40" spans="1:1">
      <c r="A40" s="98">
        <v>0.87333333333333329</v>
      </c>
    </row>
    <row r="41" spans="1:1">
      <c r="A41" s="98">
        <v>0.88666666666666671</v>
      </c>
    </row>
    <row r="42" spans="1:1">
      <c r="A42" s="98">
        <v>0.84709677419354834</v>
      </c>
    </row>
    <row r="43" spans="1:1">
      <c r="A43" s="98">
        <v>0.69599999999999995</v>
      </c>
    </row>
    <row r="44" spans="1:1">
      <c r="A44" s="98">
        <v>0.9096774193548387</v>
      </c>
    </row>
    <row r="45" spans="1:1">
      <c r="A45" s="98">
        <v>0.84692307692307689</v>
      </c>
    </row>
    <row r="46" spans="1:1">
      <c r="A46" s="98">
        <v>0.87230769230769234</v>
      </c>
    </row>
    <row r="47" spans="1:1">
      <c r="A47" s="98">
        <v>0.88</v>
      </c>
    </row>
    <row r="48" spans="1:1">
      <c r="A48" s="98">
        <v>0.89400000000000002</v>
      </c>
    </row>
    <row r="49" spans="1:1">
      <c r="A49" s="98">
        <v>0.876</v>
      </c>
    </row>
    <row r="50" spans="1:1">
      <c r="A50" s="98">
        <v>0.89</v>
      </c>
    </row>
    <row r="51" spans="1:1">
      <c r="A51" s="98">
        <v>0.8372222222222222</v>
      </c>
    </row>
  </sheetData>
  <sortState ref="E25:F32">
    <sortCondition descending="1" ref="F25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7"/>
  <sheetViews>
    <sheetView topLeftCell="A30" workbookViewId="0" xr3:uid="{51F8DEE0-4D01-5F28-A812-FC0BD7CAC4A5}">
      <selection activeCell="A58" sqref="A58"/>
    </sheetView>
  </sheetViews>
  <sheetFormatPr defaultRowHeight="15"/>
  <sheetData>
    <row r="1" spans="1:1">
      <c r="A1" t="s">
        <v>25</v>
      </c>
    </row>
    <row r="2" spans="1:1">
      <c r="A2">
        <v>11.665731912507011</v>
      </c>
    </row>
    <row r="3" spans="1:1">
      <c r="A3">
        <v>13.868133181899696</v>
      </c>
    </row>
    <row r="4" spans="1:1">
      <c r="A4">
        <v>12.369477911646587</v>
      </c>
    </row>
    <row r="5" spans="1:1">
      <c r="A5">
        <v>12.179438686738786</v>
      </c>
    </row>
    <row r="6" spans="1:1">
      <c r="A6">
        <v>11.6795141322121</v>
      </c>
    </row>
    <row r="7" spans="1:1">
      <c r="A7">
        <v>16.688770999115828</v>
      </c>
    </row>
    <row r="8" spans="1:1">
      <c r="A8">
        <v>17.055457746478876</v>
      </c>
    </row>
    <row r="10" spans="1:1">
      <c r="A10">
        <v>11.837262508703869</v>
      </c>
    </row>
    <row r="11" spans="1:1">
      <c r="A11">
        <v>15.769439912996193</v>
      </c>
    </row>
    <row r="12" spans="1:1">
      <c r="A12">
        <v>13.18350734383295</v>
      </c>
    </row>
    <row r="13" spans="1:1">
      <c r="A13">
        <v>10.833212156463574</v>
      </c>
    </row>
    <row r="14" spans="1:1">
      <c r="A14">
        <v>13.769970871215463</v>
      </c>
    </row>
    <row r="15" spans="1:1">
      <c r="A15">
        <v>11.868779948396609</v>
      </c>
    </row>
    <row r="16" spans="1:1">
      <c r="A16">
        <v>13.91599490878235</v>
      </c>
    </row>
    <row r="17" spans="1:1">
      <c r="A17">
        <v>14.344614327435149</v>
      </c>
    </row>
    <row r="18" spans="1:1">
      <c r="A18">
        <v>16.559246405552798</v>
      </c>
    </row>
    <row r="19" spans="1:1">
      <c r="A19">
        <v>13.030303030303031</v>
      </c>
    </row>
    <row r="20" spans="1:1">
      <c r="A20">
        <v>15.917266187050361</v>
      </c>
    </row>
    <row r="21" spans="1:1">
      <c r="A21">
        <v>10.888805449766668</v>
      </c>
    </row>
    <row r="22" spans="1:1">
      <c r="A22">
        <v>11.850296257406436</v>
      </c>
    </row>
    <row r="23" spans="1:1">
      <c r="A23">
        <v>13.349514563106796</v>
      </c>
    </row>
    <row r="24" spans="1:1">
      <c r="A24">
        <v>10.391082561874173</v>
      </c>
    </row>
    <row r="25" spans="1:1">
      <c r="A25">
        <v>13.772253946926437</v>
      </c>
    </row>
    <row r="26" spans="1:1">
      <c r="A26">
        <v>12.610853470018712</v>
      </c>
    </row>
    <row r="27" spans="1:1">
      <c r="A27">
        <v>12.550937245313774</v>
      </c>
    </row>
    <row r="28" spans="1:1">
      <c r="A28">
        <v>13.157894736842106</v>
      </c>
    </row>
    <row r="29" spans="1:1">
      <c r="A29">
        <v>12.351223894004042</v>
      </c>
    </row>
    <row r="30" spans="1:1">
      <c r="A30">
        <v>12.602236688365883</v>
      </c>
    </row>
    <row r="31" spans="1:1">
      <c r="A31">
        <v>16.059078654319539</v>
      </c>
    </row>
    <row r="32" spans="1:1">
      <c r="A32">
        <v>12.812615498336822</v>
      </c>
    </row>
    <row r="33" spans="1:1">
      <c r="A33">
        <v>11.879356949779485</v>
      </c>
    </row>
    <row r="34" spans="1:1">
      <c r="A34">
        <v>10.922696276627843</v>
      </c>
    </row>
    <row r="35" spans="1:1">
      <c r="A35">
        <v>14.223371585582672</v>
      </c>
    </row>
    <row r="36" spans="1:1">
      <c r="A36">
        <v>13.822720257666241</v>
      </c>
    </row>
    <row r="37" spans="1:1">
      <c r="A37">
        <v>13.918853086505672</v>
      </c>
    </row>
    <row r="38" spans="1:1">
      <c r="A38">
        <v>14.33463406864697</v>
      </c>
    </row>
    <row r="39" spans="1:1">
      <c r="A39">
        <v>13.999205718824465</v>
      </c>
    </row>
    <row r="40" spans="1:1">
      <c r="A40">
        <v>13.827160493827162</v>
      </c>
    </row>
    <row r="41" spans="1:1">
      <c r="A41">
        <v>12.392582541836273</v>
      </c>
    </row>
    <row r="42" spans="1:1">
      <c r="A42">
        <v>13.282016451588559</v>
      </c>
    </row>
    <row r="43" spans="1:1">
      <c r="A43">
        <v>14.866453888795565</v>
      </c>
    </row>
    <row r="44" spans="1:1">
      <c r="A44">
        <v>13.571267901327134</v>
      </c>
    </row>
    <row r="45" spans="1:1">
      <c r="A45">
        <v>14.415289925494006</v>
      </c>
    </row>
    <row r="46" spans="1:1">
      <c r="A46">
        <v>12.96551724137931</v>
      </c>
    </row>
    <row r="47" spans="1:1">
      <c r="A47">
        <v>11.336385437104862</v>
      </c>
    </row>
    <row r="48" spans="1:1">
      <c r="A48">
        <v>13.839349407904123</v>
      </c>
    </row>
    <row r="49" spans="1:1">
      <c r="A49">
        <v>14.825150431673498</v>
      </c>
    </row>
    <row r="50" spans="1:1">
      <c r="A50">
        <v>13.86280296932296</v>
      </c>
    </row>
    <row r="51" spans="1:1">
      <c r="A51">
        <v>13.840224246671339</v>
      </c>
    </row>
    <row r="52" spans="1:1">
      <c r="A52">
        <v>12.790697674418604</v>
      </c>
    </row>
    <row r="53" spans="1:1">
      <c r="A53">
        <v>13.043478260869565</v>
      </c>
    </row>
    <row r="54" spans="1:1">
      <c r="A54">
        <v>14.917024053701285</v>
      </c>
    </row>
    <row r="56" spans="1:1">
      <c r="A56">
        <v>15.584415584415584</v>
      </c>
    </row>
    <row r="57" spans="1:1">
      <c r="A57">
        <v>14.900662251655628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4"/>
  <sheetViews>
    <sheetView workbookViewId="0" xr3:uid="{F9CF3CF3-643B-5BE6-8B46-32C596A47465}">
      <selection activeCell="J3" sqref="J3"/>
    </sheetView>
  </sheetViews>
  <sheetFormatPr defaultRowHeight="15"/>
  <cols>
    <col min="1" max="1" width="7.7109375" bestFit="1" customWidth="1"/>
    <col min="2" max="2" width="14.42578125" bestFit="1" customWidth="1"/>
    <col min="4" max="4" width="14.42578125" bestFit="1" customWidth="1"/>
    <col min="5" max="5" width="11.7109375" bestFit="1" customWidth="1"/>
    <col min="6" max="6" width="15.140625" bestFit="1" customWidth="1"/>
  </cols>
  <sheetData>
    <row r="1" spans="1:6" ht="15.75" thickBot="1">
      <c r="A1" t="s">
        <v>12</v>
      </c>
      <c r="B1" t="s">
        <v>28</v>
      </c>
    </row>
    <row r="2" spans="1:6">
      <c r="A2">
        <v>65</v>
      </c>
      <c r="B2">
        <v>65</v>
      </c>
      <c r="D2" s="97"/>
      <c r="E2" s="97" t="s">
        <v>12</v>
      </c>
      <c r="F2" s="97" t="s">
        <v>28</v>
      </c>
    </row>
    <row r="3" spans="1:6">
      <c r="A3">
        <v>65</v>
      </c>
      <c r="B3">
        <v>49</v>
      </c>
      <c r="D3" s="95" t="s">
        <v>12</v>
      </c>
      <c r="E3" s="95">
        <v>1</v>
      </c>
      <c r="F3" s="95"/>
    </row>
    <row r="4" spans="1:6" ht="15.75" thickBot="1">
      <c r="A4">
        <v>65</v>
      </c>
      <c r="B4">
        <v>25</v>
      </c>
      <c r="D4" s="96" t="s">
        <v>28</v>
      </c>
      <c r="E4" s="96">
        <v>-0.22309125041077524</v>
      </c>
      <c r="F4" s="96">
        <v>1</v>
      </c>
    </row>
    <row r="5" spans="1:6">
      <c r="A5">
        <v>80</v>
      </c>
      <c r="B5">
        <v>20</v>
      </c>
    </row>
    <row r="6" spans="1:6">
      <c r="A6">
        <v>28</v>
      </c>
      <c r="B6">
        <v>5</v>
      </c>
    </row>
    <row r="7" spans="1:6">
      <c r="A7">
        <v>75</v>
      </c>
      <c r="B7">
        <v>5</v>
      </c>
    </row>
    <row r="8" spans="1:6">
      <c r="A8">
        <v>65</v>
      </c>
      <c r="B8">
        <v>8</v>
      </c>
    </row>
    <row r="9" spans="1:6">
      <c r="A9">
        <v>65</v>
      </c>
      <c r="B9">
        <v>4</v>
      </c>
    </row>
    <row r="10" spans="1:6">
      <c r="A10">
        <v>50</v>
      </c>
      <c r="B10">
        <v>5</v>
      </c>
    </row>
    <row r="11" spans="1:6">
      <c r="A11">
        <v>70</v>
      </c>
      <c r="B11">
        <v>24</v>
      </c>
    </row>
    <row r="12" spans="1:6">
      <c r="A12">
        <v>75</v>
      </c>
      <c r="B12">
        <v>5</v>
      </c>
    </row>
    <row r="13" spans="1:6">
      <c r="A13">
        <v>45</v>
      </c>
      <c r="B13">
        <v>6</v>
      </c>
    </row>
    <row r="14" spans="1:6">
      <c r="A14">
        <v>80</v>
      </c>
      <c r="B14">
        <v>17</v>
      </c>
    </row>
    <row r="15" spans="1:6">
      <c r="A15">
        <v>80</v>
      </c>
      <c r="B15">
        <v>10</v>
      </c>
    </row>
    <row r="16" spans="1:6">
      <c r="A16">
        <v>75</v>
      </c>
      <c r="B16">
        <v>6</v>
      </c>
    </row>
    <row r="17" spans="1:2">
      <c r="A17">
        <v>75</v>
      </c>
      <c r="B17">
        <v>7</v>
      </c>
    </row>
    <row r="18" spans="1:2">
      <c r="A18">
        <v>65</v>
      </c>
      <c r="B18">
        <v>9</v>
      </c>
    </row>
    <row r="19" spans="1:2">
      <c r="A19">
        <v>80</v>
      </c>
      <c r="B19">
        <v>86</v>
      </c>
    </row>
    <row r="20" spans="1:2">
      <c r="A20">
        <v>80</v>
      </c>
      <c r="B20">
        <v>51</v>
      </c>
    </row>
    <row r="21" spans="1:2">
      <c r="A21">
        <v>31</v>
      </c>
      <c r="B21">
        <v>44</v>
      </c>
    </row>
    <row r="22" spans="1:2">
      <c r="A22">
        <v>31</v>
      </c>
      <c r="B22">
        <v>74</v>
      </c>
    </row>
    <row r="23" spans="1:2">
      <c r="A23">
        <v>95</v>
      </c>
      <c r="B23">
        <v>8</v>
      </c>
    </row>
    <row r="24" spans="1:2">
      <c r="A24">
        <v>70</v>
      </c>
      <c r="B24">
        <v>6</v>
      </c>
    </row>
    <row r="25" spans="1:2">
      <c r="A25">
        <v>75</v>
      </c>
      <c r="B25">
        <v>6</v>
      </c>
    </row>
    <row r="26" spans="1:2">
      <c r="A26">
        <v>75</v>
      </c>
      <c r="B26">
        <v>9</v>
      </c>
    </row>
    <row r="27" spans="1:2">
      <c r="A27">
        <v>70</v>
      </c>
      <c r="B27">
        <v>28</v>
      </c>
    </row>
    <row r="28" spans="1:2">
      <c r="A28">
        <v>60</v>
      </c>
      <c r="B28">
        <v>6</v>
      </c>
    </row>
    <row r="29" spans="1:2">
      <c r="A29">
        <v>80</v>
      </c>
      <c r="B29">
        <v>4</v>
      </c>
    </row>
    <row r="30" spans="1:2">
      <c r="A30">
        <v>60</v>
      </c>
      <c r="B30">
        <v>62</v>
      </c>
    </row>
    <row r="31" spans="1:2">
      <c r="A31">
        <v>60</v>
      </c>
      <c r="B31">
        <v>9</v>
      </c>
    </row>
    <row r="32" spans="1:2">
      <c r="A32">
        <v>60</v>
      </c>
      <c r="B32">
        <v>70</v>
      </c>
    </row>
    <row r="33" spans="1:2">
      <c r="A33">
        <v>80</v>
      </c>
      <c r="B33">
        <v>8</v>
      </c>
    </row>
    <row r="34" spans="1:2">
      <c r="A34">
        <v>95</v>
      </c>
      <c r="B34">
        <v>43</v>
      </c>
    </row>
    <row r="35" spans="1:2">
      <c r="A35">
        <v>80</v>
      </c>
      <c r="B35">
        <v>45</v>
      </c>
    </row>
    <row r="36" spans="1:2">
      <c r="A36">
        <v>95</v>
      </c>
      <c r="B36">
        <v>9</v>
      </c>
    </row>
    <row r="37" spans="1:2">
      <c r="A37">
        <v>50</v>
      </c>
      <c r="B37">
        <v>5</v>
      </c>
    </row>
    <row r="38" spans="1:2">
      <c r="A38">
        <v>50</v>
      </c>
      <c r="B38">
        <v>36</v>
      </c>
    </row>
    <row r="39" spans="1:2">
      <c r="A39">
        <v>50</v>
      </c>
      <c r="B39">
        <v>72</v>
      </c>
    </row>
    <row r="40" spans="1:2">
      <c r="A40">
        <v>50</v>
      </c>
      <c r="B40">
        <v>13</v>
      </c>
    </row>
    <row r="41" spans="1:2">
      <c r="A41">
        <v>70</v>
      </c>
      <c r="B41">
        <v>8</v>
      </c>
    </row>
    <row r="42" spans="1:2">
      <c r="A42">
        <v>80</v>
      </c>
      <c r="B42">
        <v>22</v>
      </c>
    </row>
    <row r="43" spans="1:2">
      <c r="A43">
        <v>70</v>
      </c>
      <c r="B43">
        <v>6</v>
      </c>
    </row>
    <row r="44" spans="1:2">
      <c r="A44">
        <v>70</v>
      </c>
      <c r="B44">
        <v>14</v>
      </c>
    </row>
    <row r="45" spans="1:2">
      <c r="A45">
        <v>70</v>
      </c>
      <c r="B45">
        <v>5</v>
      </c>
    </row>
    <row r="46" spans="1:2">
      <c r="A46">
        <v>95</v>
      </c>
      <c r="B46">
        <v>55</v>
      </c>
    </row>
    <row r="47" spans="1:2">
      <c r="A47">
        <v>100</v>
      </c>
      <c r="B47">
        <v>5</v>
      </c>
    </row>
    <row r="48" spans="1:2">
      <c r="A48">
        <v>70</v>
      </c>
      <c r="B48">
        <v>5</v>
      </c>
    </row>
    <row r="49" spans="1:2">
      <c r="A49">
        <v>90</v>
      </c>
      <c r="B49">
        <v>6</v>
      </c>
    </row>
    <row r="50" spans="1:2">
      <c r="A50">
        <v>110</v>
      </c>
      <c r="B50">
        <v>7</v>
      </c>
    </row>
    <row r="51" spans="1:2">
      <c r="A51">
        <v>120</v>
      </c>
      <c r="B51">
        <v>8</v>
      </c>
    </row>
    <row r="52" spans="1:2">
      <c r="A52">
        <v>110</v>
      </c>
      <c r="B52">
        <v>5</v>
      </c>
    </row>
    <row r="53" spans="1:2">
      <c r="A53">
        <v>80</v>
      </c>
      <c r="B53">
        <v>14</v>
      </c>
    </row>
    <row r="54" spans="1:2">
      <c r="A54">
        <v>80</v>
      </c>
      <c r="B54">
        <v>13</v>
      </c>
    </row>
  </sheetData>
  <pageMargins left="0.7" right="0.7" top="0.75" bottom="0.75" header="0.3" footer="0.3"/>
  <pageSetup orientation="portrait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3"/>
  <sheetViews>
    <sheetView workbookViewId="0" xr3:uid="{78B4E459-6924-5F8B-B7BA-2DD04133E49E}">
      <selection activeCell="P3" sqref="P3"/>
    </sheetView>
  </sheetViews>
  <sheetFormatPr defaultRowHeight="15"/>
  <cols>
    <col min="2" max="2" width="14.42578125" bestFit="1" customWidth="1"/>
    <col min="4" max="4" width="14.42578125" bestFit="1" customWidth="1"/>
    <col min="5" max="5" width="12" bestFit="1" customWidth="1"/>
    <col min="6" max="6" width="15.140625" bestFit="1" customWidth="1"/>
  </cols>
  <sheetData>
    <row r="1" spans="1:6" ht="15.75" thickBot="1">
      <c r="A1" t="s">
        <v>11</v>
      </c>
      <c r="B1" t="s">
        <v>28</v>
      </c>
    </row>
    <row r="2" spans="1:6">
      <c r="A2">
        <v>31</v>
      </c>
      <c r="B2">
        <v>65</v>
      </c>
      <c r="D2" s="97"/>
      <c r="E2" s="97" t="s">
        <v>11</v>
      </c>
      <c r="F2" s="97" t="s">
        <v>28</v>
      </c>
    </row>
    <row r="3" spans="1:6">
      <c r="A3">
        <v>28</v>
      </c>
      <c r="B3">
        <v>49</v>
      </c>
      <c r="D3" s="95" t="s">
        <v>11</v>
      </c>
      <c r="E3" s="95">
        <v>1</v>
      </c>
      <c r="F3" s="95"/>
    </row>
    <row r="4" spans="1:6" ht="15.75" thickBot="1">
      <c r="A4">
        <v>26</v>
      </c>
      <c r="B4">
        <v>25</v>
      </c>
      <c r="D4" s="96" t="s">
        <v>28</v>
      </c>
      <c r="E4" s="96">
        <v>0.43824841702852235</v>
      </c>
      <c r="F4" s="96">
        <v>1</v>
      </c>
    </row>
    <row r="5" spans="1:6">
      <c r="A5">
        <v>35</v>
      </c>
      <c r="B5">
        <v>20</v>
      </c>
    </row>
    <row r="6" spans="1:6">
      <c r="A6">
        <v>34</v>
      </c>
      <c r="B6">
        <v>8</v>
      </c>
    </row>
    <row r="7" spans="1:6">
      <c r="A7">
        <v>25</v>
      </c>
      <c r="B7">
        <v>5</v>
      </c>
    </row>
    <row r="8" spans="1:6">
      <c r="A8">
        <v>29</v>
      </c>
      <c r="B8">
        <v>5</v>
      </c>
    </row>
    <row r="9" spans="1:6">
      <c r="A9">
        <v>28</v>
      </c>
      <c r="B9">
        <v>5</v>
      </c>
    </row>
    <row r="10" spans="1:6">
      <c r="A10">
        <v>17</v>
      </c>
      <c r="B10">
        <v>8</v>
      </c>
    </row>
    <row r="11" spans="1:6">
      <c r="A11">
        <v>20</v>
      </c>
      <c r="B11">
        <v>4</v>
      </c>
    </row>
    <row r="12" spans="1:6">
      <c r="A12">
        <v>29</v>
      </c>
      <c r="B12">
        <v>5</v>
      </c>
    </row>
    <row r="13" spans="1:6">
      <c r="A13">
        <v>26</v>
      </c>
      <c r="B13">
        <v>24</v>
      </c>
    </row>
    <row r="14" spans="1:6">
      <c r="A14">
        <v>30</v>
      </c>
      <c r="B14">
        <v>5</v>
      </c>
    </row>
    <row r="15" spans="1:6">
      <c r="A15">
        <v>30</v>
      </c>
      <c r="B15">
        <v>6</v>
      </c>
    </row>
    <row r="16" spans="1:6">
      <c r="A16">
        <v>35</v>
      </c>
      <c r="B16">
        <v>17</v>
      </c>
    </row>
    <row r="17" spans="1:2">
      <c r="A17">
        <v>40</v>
      </c>
      <c r="B17">
        <v>10</v>
      </c>
    </row>
    <row r="18" spans="1:2">
      <c r="A18">
        <v>34</v>
      </c>
      <c r="B18">
        <v>6</v>
      </c>
    </row>
    <row r="19" spans="1:2">
      <c r="A19">
        <v>32</v>
      </c>
      <c r="B19">
        <v>7</v>
      </c>
    </row>
    <row r="20" spans="1:2">
      <c r="A20">
        <v>26</v>
      </c>
      <c r="B20">
        <v>9</v>
      </c>
    </row>
    <row r="21" spans="1:2">
      <c r="A21">
        <v>43</v>
      </c>
      <c r="B21">
        <v>86</v>
      </c>
    </row>
    <row r="22" spans="1:2">
      <c r="A22">
        <v>35</v>
      </c>
      <c r="B22">
        <v>51</v>
      </c>
    </row>
    <row r="23" spans="1:2">
      <c r="A23">
        <v>35</v>
      </c>
      <c r="B23">
        <v>44</v>
      </c>
    </row>
    <row r="24" spans="1:2">
      <c r="A24">
        <v>35</v>
      </c>
      <c r="B24">
        <v>74</v>
      </c>
    </row>
    <row r="25" spans="1:2">
      <c r="A25">
        <v>38</v>
      </c>
      <c r="B25">
        <v>8</v>
      </c>
    </row>
    <row r="26" spans="1:2">
      <c r="A26">
        <v>31</v>
      </c>
      <c r="B26">
        <v>6</v>
      </c>
    </row>
    <row r="27" spans="1:2">
      <c r="A27">
        <v>20</v>
      </c>
      <c r="B27">
        <v>6</v>
      </c>
    </row>
    <row r="28" spans="1:2">
      <c r="A28">
        <v>27</v>
      </c>
      <c r="B28">
        <v>9</v>
      </c>
    </row>
    <row r="29" spans="1:2">
      <c r="A29">
        <v>25</v>
      </c>
      <c r="B29">
        <v>28</v>
      </c>
    </row>
    <row r="30" spans="1:2">
      <c r="A30">
        <v>30</v>
      </c>
      <c r="B30">
        <v>6</v>
      </c>
    </row>
    <row r="31" spans="1:2">
      <c r="A31">
        <v>33</v>
      </c>
      <c r="B31">
        <v>4</v>
      </c>
    </row>
    <row r="32" spans="1:2">
      <c r="A32">
        <v>32</v>
      </c>
      <c r="B32">
        <v>62</v>
      </c>
    </row>
    <row r="33" spans="1:2">
      <c r="A33">
        <v>28</v>
      </c>
      <c r="B33">
        <v>9</v>
      </c>
    </row>
    <row r="34" spans="1:2">
      <c r="A34">
        <v>39</v>
      </c>
      <c r="B34">
        <v>70</v>
      </c>
    </row>
    <row r="35" spans="1:2">
      <c r="A35">
        <v>38</v>
      </c>
      <c r="B35">
        <v>8</v>
      </c>
    </row>
    <row r="36" spans="1:2">
      <c r="A36">
        <v>40</v>
      </c>
      <c r="B36">
        <v>43</v>
      </c>
    </row>
    <row r="37" spans="1:2">
      <c r="A37">
        <v>40</v>
      </c>
      <c r="B37">
        <v>45</v>
      </c>
    </row>
    <row r="38" spans="1:2">
      <c r="A38">
        <v>32</v>
      </c>
      <c r="B38">
        <v>9</v>
      </c>
    </row>
    <row r="39" spans="1:2">
      <c r="A39">
        <v>27</v>
      </c>
      <c r="B39">
        <v>5</v>
      </c>
    </row>
    <row r="40" spans="1:2">
      <c r="A40">
        <v>15</v>
      </c>
      <c r="B40">
        <v>36</v>
      </c>
    </row>
    <row r="41" spans="1:2">
      <c r="A41">
        <v>34</v>
      </c>
      <c r="B41">
        <v>72</v>
      </c>
    </row>
    <row r="42" spans="1:2">
      <c r="A42">
        <v>18</v>
      </c>
      <c r="B42">
        <v>13</v>
      </c>
    </row>
    <row r="43" spans="1:2">
      <c r="A43">
        <v>25</v>
      </c>
      <c r="B43">
        <v>8</v>
      </c>
    </row>
    <row r="44" spans="1:2">
      <c r="A44">
        <v>20</v>
      </c>
      <c r="B44">
        <v>22</v>
      </c>
    </row>
    <row r="45" spans="1:2">
      <c r="A45">
        <v>34</v>
      </c>
      <c r="B45">
        <v>6</v>
      </c>
    </row>
    <row r="46" spans="1:2">
      <c r="A46">
        <v>40</v>
      </c>
      <c r="B46">
        <v>55</v>
      </c>
    </row>
    <row r="47" spans="1:2">
      <c r="A47">
        <v>28</v>
      </c>
      <c r="B47">
        <v>5</v>
      </c>
    </row>
    <row r="48" spans="1:2">
      <c r="A48">
        <v>25</v>
      </c>
      <c r="B48">
        <v>6</v>
      </c>
    </row>
    <row r="49" spans="1:2">
      <c r="A49">
        <v>24</v>
      </c>
      <c r="B49">
        <v>7</v>
      </c>
    </row>
    <row r="50" spans="1:2">
      <c r="A50">
        <v>25</v>
      </c>
      <c r="B50">
        <v>8</v>
      </c>
    </row>
    <row r="51" spans="1:2">
      <c r="A51">
        <v>22</v>
      </c>
      <c r="B51">
        <v>5</v>
      </c>
    </row>
    <row r="52" spans="1:2">
      <c r="A52">
        <v>29</v>
      </c>
      <c r="B52">
        <v>14</v>
      </c>
    </row>
    <row r="53" spans="1:2">
      <c r="A53">
        <v>28</v>
      </c>
      <c r="B53">
        <v>13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Bardwell</dc:creator>
  <cp:keywords/>
  <dc:description/>
  <cp:lastModifiedBy>Bardwell</cp:lastModifiedBy>
  <cp:revision/>
  <dcterms:created xsi:type="dcterms:W3CDTF">2016-04-20T18:31:46Z</dcterms:created>
  <dcterms:modified xsi:type="dcterms:W3CDTF">2017-07-08T09:52:48Z</dcterms:modified>
  <cp:category/>
  <cp:contentStatus/>
</cp:coreProperties>
</file>